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ET\TEACH\TEACH Grant Working 2019\Infrastructure\"/>
    </mc:Choice>
  </mc:AlternateContent>
  <xr:revisionPtr revIDLastSave="0" documentId="13_ncr:1_{46368FF9-36D2-440D-AD89-E80B7C638445}" xr6:coauthVersionLast="38" xr6:coauthVersionMax="38" xr10:uidLastSave="{00000000-0000-0000-0000-000000000000}"/>
  <bookViews>
    <workbookView xWindow="0" yWindow="0" windowWidth="19200" windowHeight="11025" xr2:uid="{A5EA3E79-2698-45F6-B986-0E4058DDDB23}"/>
  </bookViews>
  <sheets>
    <sheet name="FY19 Awards" sheetId="1" r:id="rId1"/>
  </sheets>
  <definedNames>
    <definedName name="list" localSheetId="0">#REF!</definedName>
    <definedName name="list">#REF!</definedName>
    <definedName name="list1" localSheetId="0">#REF!</definedName>
    <definedName name="list1">#REF!</definedName>
    <definedName name="listeq" localSheetId="0">#REF!</definedName>
    <definedName name="listeq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14" i="1" l="1"/>
  <c r="S114" i="1" s="1"/>
  <c r="T114" i="1" s="1"/>
  <c r="L114" i="1"/>
  <c r="J114" i="1"/>
  <c r="K114" i="1" s="1"/>
  <c r="P111" i="1"/>
  <c r="S111" i="1" s="1"/>
  <c r="T111" i="1" s="1"/>
  <c r="K111" i="1"/>
  <c r="M111" i="1" s="1"/>
  <c r="O111" i="1" s="1"/>
  <c r="Q110" i="1"/>
  <c r="P110" i="1"/>
  <c r="J110" i="1"/>
  <c r="K110" i="1" s="1"/>
  <c r="M110" i="1" s="1"/>
  <c r="O110" i="1" s="1"/>
  <c r="S107" i="1"/>
  <c r="T107" i="1" s="1"/>
  <c r="M107" i="1"/>
  <c r="O107" i="1" s="1"/>
  <c r="P106" i="1"/>
  <c r="S106" i="1" s="1"/>
  <c r="T106" i="1" s="1"/>
  <c r="K106" i="1"/>
  <c r="M106" i="1" s="1"/>
  <c r="O106" i="1" s="1"/>
  <c r="P104" i="1"/>
  <c r="S104" i="1" s="1"/>
  <c r="T104" i="1" s="1"/>
  <c r="K104" i="1"/>
  <c r="M104" i="1" s="1"/>
  <c r="O104" i="1" s="1"/>
  <c r="P103" i="1"/>
  <c r="S103" i="1" s="1"/>
  <c r="T103" i="1" s="1"/>
  <c r="K103" i="1"/>
  <c r="M103" i="1" s="1"/>
  <c r="O103" i="1" s="1"/>
  <c r="S101" i="1"/>
  <c r="T101" i="1" s="1"/>
  <c r="K101" i="1"/>
  <c r="M101" i="1" s="1"/>
  <c r="O101" i="1" s="1"/>
  <c r="S100" i="1"/>
  <c r="T100" i="1" s="1"/>
  <c r="K100" i="1"/>
  <c r="M100" i="1" s="1"/>
  <c r="O100" i="1" s="1"/>
  <c r="P99" i="1"/>
  <c r="S99" i="1" s="1"/>
  <c r="T99" i="1" s="1"/>
  <c r="K99" i="1"/>
  <c r="M99" i="1" s="1"/>
  <c r="O99" i="1" s="1"/>
  <c r="P98" i="1"/>
  <c r="S98" i="1" s="1"/>
  <c r="T98" i="1" s="1"/>
  <c r="K98" i="1"/>
  <c r="M98" i="1" s="1"/>
  <c r="O98" i="1" s="1"/>
  <c r="S97" i="1"/>
  <c r="T97" i="1" s="1"/>
  <c r="K97" i="1"/>
  <c r="M97" i="1" s="1"/>
  <c r="O97" i="1" s="1"/>
  <c r="Q96" i="1"/>
  <c r="P96" i="1"/>
  <c r="K96" i="1"/>
  <c r="M96" i="1" s="1"/>
  <c r="O96" i="1" s="1"/>
  <c r="S91" i="1"/>
  <c r="T91" i="1" s="1"/>
  <c r="K91" i="1"/>
  <c r="M91" i="1" s="1"/>
  <c r="O91" i="1" s="1"/>
  <c r="P88" i="1"/>
  <c r="S88" i="1" s="1"/>
  <c r="T88" i="1" s="1"/>
  <c r="K88" i="1"/>
  <c r="M88" i="1" s="1"/>
  <c r="O88" i="1" s="1"/>
  <c r="P86" i="1"/>
  <c r="S86" i="1" s="1"/>
  <c r="T86" i="1" s="1"/>
  <c r="K86" i="1"/>
  <c r="M86" i="1" s="1"/>
  <c r="O86" i="1" s="1"/>
  <c r="P85" i="1"/>
  <c r="S85" i="1" s="1"/>
  <c r="T85" i="1" s="1"/>
  <c r="K85" i="1"/>
  <c r="M85" i="1" s="1"/>
  <c r="O85" i="1" s="1"/>
  <c r="P83" i="1"/>
  <c r="S83" i="1" s="1"/>
  <c r="T83" i="1" s="1"/>
  <c r="K83" i="1"/>
  <c r="M83" i="1" s="1"/>
  <c r="O83" i="1" s="1"/>
  <c r="P82" i="1"/>
  <c r="S82" i="1" s="1"/>
  <c r="T82" i="1" s="1"/>
  <c r="K82" i="1"/>
  <c r="M82" i="1" s="1"/>
  <c r="O82" i="1" s="1"/>
  <c r="P80" i="1"/>
  <c r="S80" i="1" s="1"/>
  <c r="T80" i="1" s="1"/>
  <c r="J80" i="1"/>
  <c r="K80" i="1" s="1"/>
  <c r="M80" i="1" s="1"/>
  <c r="O80" i="1" s="1"/>
  <c r="P79" i="1"/>
  <c r="S79" i="1" s="1"/>
  <c r="T79" i="1" s="1"/>
  <c r="K79" i="1"/>
  <c r="M79" i="1" s="1"/>
  <c r="O79" i="1" s="1"/>
  <c r="S76" i="1"/>
  <c r="T76" i="1" s="1"/>
  <c r="K76" i="1"/>
  <c r="M76" i="1" s="1"/>
  <c r="O76" i="1" s="1"/>
  <c r="P73" i="1"/>
  <c r="S73" i="1" s="1"/>
  <c r="T73" i="1" s="1"/>
  <c r="K73" i="1"/>
  <c r="M73" i="1" s="1"/>
  <c r="O73" i="1" s="1"/>
  <c r="Q71" i="1"/>
  <c r="P71" i="1"/>
  <c r="K71" i="1"/>
  <c r="M71" i="1" s="1"/>
  <c r="O71" i="1" s="1"/>
  <c r="P69" i="1"/>
  <c r="S69" i="1" s="1"/>
  <c r="T69" i="1" s="1"/>
  <c r="K69" i="1"/>
  <c r="M69" i="1" s="1"/>
  <c r="O69" i="1" s="1"/>
  <c r="S68" i="1"/>
  <c r="T68" i="1" s="1"/>
  <c r="K68" i="1"/>
  <c r="M68" i="1" s="1"/>
  <c r="O68" i="1" s="1"/>
  <c r="S67" i="1"/>
  <c r="T67" i="1" s="1"/>
  <c r="K67" i="1"/>
  <c r="M67" i="1" s="1"/>
  <c r="O67" i="1" s="1"/>
  <c r="P65" i="1"/>
  <c r="S65" i="1" s="1"/>
  <c r="T65" i="1" s="1"/>
  <c r="K65" i="1"/>
  <c r="M65" i="1" s="1"/>
  <c r="O65" i="1" s="1"/>
  <c r="P60" i="1"/>
  <c r="S60" i="1" s="1"/>
  <c r="T60" i="1" s="1"/>
  <c r="K60" i="1"/>
  <c r="M60" i="1" s="1"/>
  <c r="O60" i="1" s="1"/>
  <c r="P57" i="1"/>
  <c r="S57" i="1" s="1"/>
  <c r="T57" i="1" s="1"/>
  <c r="K57" i="1"/>
  <c r="M57" i="1" s="1"/>
  <c r="O57" i="1" s="1"/>
  <c r="P51" i="1"/>
  <c r="S51" i="1" s="1"/>
  <c r="T51" i="1" s="1"/>
  <c r="K51" i="1"/>
  <c r="M51" i="1" s="1"/>
  <c r="O51" i="1" s="1"/>
  <c r="Q49" i="1"/>
  <c r="S49" i="1" s="1"/>
  <c r="T49" i="1" s="1"/>
  <c r="L49" i="1"/>
  <c r="K49" i="1"/>
  <c r="S47" i="1"/>
  <c r="T47" i="1" s="1"/>
  <c r="K47" i="1"/>
  <c r="M47" i="1" s="1"/>
  <c r="O47" i="1" s="1"/>
  <c r="P44" i="1"/>
  <c r="S44" i="1" s="1"/>
  <c r="T44" i="1" s="1"/>
  <c r="J44" i="1"/>
  <c r="K44" i="1" s="1"/>
  <c r="M44" i="1" s="1"/>
  <c r="O44" i="1" s="1"/>
  <c r="P43" i="1"/>
  <c r="S43" i="1" s="1"/>
  <c r="T43" i="1" s="1"/>
  <c r="K43" i="1"/>
  <c r="M43" i="1" s="1"/>
  <c r="O43" i="1" s="1"/>
  <c r="P40" i="1"/>
  <c r="S40" i="1" s="1"/>
  <c r="T40" i="1" s="1"/>
  <c r="K40" i="1"/>
  <c r="M40" i="1" s="1"/>
  <c r="O40" i="1" s="1"/>
  <c r="P38" i="1"/>
  <c r="S38" i="1" s="1"/>
  <c r="T38" i="1" s="1"/>
  <c r="K38" i="1"/>
  <c r="M38" i="1" s="1"/>
  <c r="O38" i="1" s="1"/>
  <c r="P37" i="1"/>
  <c r="S37" i="1" s="1"/>
  <c r="T37" i="1" s="1"/>
  <c r="K37" i="1"/>
  <c r="M37" i="1" s="1"/>
  <c r="O37" i="1" s="1"/>
  <c r="P36" i="1"/>
  <c r="S36" i="1" s="1"/>
  <c r="T36" i="1" s="1"/>
  <c r="K36" i="1"/>
  <c r="M36" i="1" s="1"/>
  <c r="O36" i="1" s="1"/>
  <c r="P35" i="1"/>
  <c r="S35" i="1" s="1"/>
  <c r="T35" i="1" s="1"/>
  <c r="J35" i="1"/>
  <c r="K35" i="1" s="1"/>
  <c r="M35" i="1" s="1"/>
  <c r="O35" i="1" s="1"/>
  <c r="Q32" i="1"/>
  <c r="P32" i="1"/>
  <c r="K32" i="1"/>
  <c r="M32" i="1" s="1"/>
  <c r="O32" i="1" s="1"/>
  <c r="S31" i="1"/>
  <c r="T31" i="1" s="1"/>
  <c r="L31" i="1"/>
  <c r="K31" i="1"/>
  <c r="P30" i="1"/>
  <c r="S30" i="1" s="1"/>
  <c r="T30" i="1" s="1"/>
  <c r="K30" i="1"/>
  <c r="M30" i="1" s="1"/>
  <c r="O30" i="1" s="1"/>
  <c r="P28" i="1"/>
  <c r="S28" i="1" s="1"/>
  <c r="T28" i="1" s="1"/>
  <c r="K28" i="1"/>
  <c r="M28" i="1" s="1"/>
  <c r="O28" i="1" s="1"/>
  <c r="P27" i="1"/>
  <c r="S27" i="1" s="1"/>
  <c r="T27" i="1" s="1"/>
  <c r="K27" i="1"/>
  <c r="M27" i="1" s="1"/>
  <c r="O27" i="1" s="1"/>
  <c r="P23" i="1"/>
  <c r="S23" i="1" s="1"/>
  <c r="T23" i="1" s="1"/>
  <c r="K23" i="1"/>
  <c r="M23" i="1" s="1"/>
  <c r="O23" i="1" s="1"/>
  <c r="S22" i="1"/>
  <c r="T22" i="1" s="1"/>
  <c r="K22" i="1"/>
  <c r="M22" i="1" s="1"/>
  <c r="O22" i="1" s="1"/>
  <c r="P21" i="1"/>
  <c r="S21" i="1" s="1"/>
  <c r="T21" i="1" s="1"/>
  <c r="K21" i="1"/>
  <c r="M21" i="1" s="1"/>
  <c r="O21" i="1" s="1"/>
  <c r="S20" i="1"/>
  <c r="T20" i="1" s="1"/>
  <c r="K20" i="1"/>
  <c r="M20" i="1" s="1"/>
  <c r="O20" i="1" s="1"/>
  <c r="S17" i="1"/>
  <c r="T17" i="1" s="1"/>
  <c r="K17" i="1"/>
  <c r="M17" i="1" s="1"/>
  <c r="O17" i="1" s="1"/>
  <c r="Q16" i="1"/>
  <c r="P16" i="1"/>
  <c r="L16" i="1"/>
  <c r="K16" i="1"/>
  <c r="P13" i="1"/>
  <c r="S13" i="1" s="1"/>
  <c r="T13" i="1" s="1"/>
  <c r="J13" i="1"/>
  <c r="K13" i="1" s="1"/>
  <c r="M13" i="1" s="1"/>
  <c r="O13" i="1" s="1"/>
  <c r="Q12" i="1"/>
  <c r="P12" i="1"/>
  <c r="K12" i="1"/>
  <c r="M12" i="1" s="1"/>
  <c r="O12" i="1" s="1"/>
  <c r="P11" i="1"/>
  <c r="S11" i="1" s="1"/>
  <c r="T11" i="1" s="1"/>
  <c r="K11" i="1"/>
  <c r="M11" i="1" s="1"/>
  <c r="O11" i="1" s="1"/>
  <c r="P7" i="1"/>
  <c r="S7" i="1" s="1"/>
  <c r="T7" i="1" s="1"/>
  <c r="K7" i="1"/>
  <c r="M7" i="1" s="1"/>
  <c r="O7" i="1" s="1"/>
  <c r="P5" i="1"/>
  <c r="S5" i="1" s="1"/>
  <c r="T5" i="1" s="1"/>
  <c r="K5" i="1"/>
  <c r="M5" i="1" s="1"/>
  <c r="O5" i="1" s="1"/>
  <c r="P4" i="1"/>
  <c r="S4" i="1" s="1"/>
  <c r="T4" i="1" s="1"/>
  <c r="J4" i="1"/>
  <c r="K4" i="1" s="1"/>
  <c r="M4" i="1" s="1"/>
  <c r="O4" i="1" s="1"/>
  <c r="P116" i="1"/>
  <c r="S116" i="1" s="1"/>
  <c r="T116" i="1" s="1"/>
  <c r="K116" i="1"/>
  <c r="M116" i="1" s="1"/>
  <c r="O116" i="1" s="1"/>
  <c r="P115" i="1"/>
  <c r="S115" i="1" s="1"/>
  <c r="T115" i="1" s="1"/>
  <c r="K115" i="1"/>
  <c r="M115" i="1" s="1"/>
  <c r="O115" i="1" s="1"/>
  <c r="P113" i="1"/>
  <c r="S113" i="1" s="1"/>
  <c r="T113" i="1" s="1"/>
  <c r="K113" i="1"/>
  <c r="M113" i="1" s="1"/>
  <c r="O113" i="1" s="1"/>
  <c r="P112" i="1"/>
  <c r="S112" i="1" s="1"/>
  <c r="T112" i="1" s="1"/>
  <c r="K112" i="1"/>
  <c r="M112" i="1" s="1"/>
  <c r="O112" i="1" s="1"/>
  <c r="P109" i="1"/>
  <c r="S109" i="1" s="1"/>
  <c r="T109" i="1" s="1"/>
  <c r="K109" i="1"/>
  <c r="M109" i="1" s="1"/>
  <c r="O109" i="1" s="1"/>
  <c r="P108" i="1"/>
  <c r="S108" i="1" s="1"/>
  <c r="T108" i="1" s="1"/>
  <c r="K108" i="1"/>
  <c r="M108" i="1" s="1"/>
  <c r="O108" i="1" s="1"/>
  <c r="P105" i="1"/>
  <c r="S105" i="1" s="1"/>
  <c r="T105" i="1" s="1"/>
  <c r="K105" i="1"/>
  <c r="M105" i="1" s="1"/>
  <c r="O105" i="1" s="1"/>
  <c r="P102" i="1"/>
  <c r="S102" i="1" s="1"/>
  <c r="T102" i="1" s="1"/>
  <c r="K102" i="1"/>
  <c r="M102" i="1" s="1"/>
  <c r="O102" i="1" s="1"/>
  <c r="P95" i="1"/>
  <c r="S95" i="1" s="1"/>
  <c r="T95" i="1" s="1"/>
  <c r="K95" i="1"/>
  <c r="M95" i="1" s="1"/>
  <c r="O95" i="1" s="1"/>
  <c r="P94" i="1"/>
  <c r="S94" i="1" s="1"/>
  <c r="T94" i="1" s="1"/>
  <c r="K94" i="1"/>
  <c r="M94" i="1" s="1"/>
  <c r="O94" i="1" s="1"/>
  <c r="P93" i="1"/>
  <c r="S93" i="1" s="1"/>
  <c r="T93" i="1" s="1"/>
  <c r="K93" i="1"/>
  <c r="M93" i="1" s="1"/>
  <c r="O93" i="1" s="1"/>
  <c r="P92" i="1"/>
  <c r="S92" i="1" s="1"/>
  <c r="T92" i="1" s="1"/>
  <c r="K92" i="1"/>
  <c r="M92" i="1" s="1"/>
  <c r="O92" i="1" s="1"/>
  <c r="P90" i="1"/>
  <c r="S90" i="1" s="1"/>
  <c r="T90" i="1" s="1"/>
  <c r="K90" i="1"/>
  <c r="M90" i="1" s="1"/>
  <c r="O90" i="1" s="1"/>
  <c r="P89" i="1"/>
  <c r="S89" i="1" s="1"/>
  <c r="T89" i="1" s="1"/>
  <c r="K89" i="1"/>
  <c r="M89" i="1" s="1"/>
  <c r="O89" i="1" s="1"/>
  <c r="P87" i="1"/>
  <c r="S87" i="1" s="1"/>
  <c r="T87" i="1" s="1"/>
  <c r="K87" i="1"/>
  <c r="M87" i="1" s="1"/>
  <c r="O87" i="1" s="1"/>
  <c r="P84" i="1"/>
  <c r="S84" i="1" s="1"/>
  <c r="T84" i="1" s="1"/>
  <c r="K84" i="1"/>
  <c r="M84" i="1" s="1"/>
  <c r="O84" i="1" s="1"/>
  <c r="P81" i="1"/>
  <c r="S81" i="1" s="1"/>
  <c r="T81" i="1" s="1"/>
  <c r="K81" i="1"/>
  <c r="M81" i="1" s="1"/>
  <c r="O81" i="1" s="1"/>
  <c r="P78" i="1"/>
  <c r="S78" i="1" s="1"/>
  <c r="T78" i="1" s="1"/>
  <c r="K78" i="1"/>
  <c r="M78" i="1" s="1"/>
  <c r="O78" i="1" s="1"/>
  <c r="P77" i="1"/>
  <c r="S77" i="1" s="1"/>
  <c r="T77" i="1" s="1"/>
  <c r="K77" i="1"/>
  <c r="M77" i="1" s="1"/>
  <c r="O77" i="1" s="1"/>
  <c r="P75" i="1"/>
  <c r="S75" i="1" s="1"/>
  <c r="T75" i="1" s="1"/>
  <c r="K75" i="1"/>
  <c r="M75" i="1" s="1"/>
  <c r="O75" i="1" s="1"/>
  <c r="P74" i="1"/>
  <c r="S74" i="1" s="1"/>
  <c r="T74" i="1" s="1"/>
  <c r="K74" i="1"/>
  <c r="M74" i="1" s="1"/>
  <c r="O74" i="1" s="1"/>
  <c r="P72" i="1"/>
  <c r="S72" i="1" s="1"/>
  <c r="T72" i="1" s="1"/>
  <c r="J72" i="1"/>
  <c r="K72" i="1" s="1"/>
  <c r="M72" i="1" s="1"/>
  <c r="O72" i="1" s="1"/>
  <c r="P70" i="1"/>
  <c r="S70" i="1" s="1"/>
  <c r="T70" i="1" s="1"/>
  <c r="K70" i="1"/>
  <c r="M70" i="1" s="1"/>
  <c r="O70" i="1" s="1"/>
  <c r="P66" i="1"/>
  <c r="S66" i="1" s="1"/>
  <c r="T66" i="1" s="1"/>
  <c r="K66" i="1"/>
  <c r="M66" i="1" s="1"/>
  <c r="O66" i="1" s="1"/>
  <c r="P64" i="1"/>
  <c r="S64" i="1" s="1"/>
  <c r="T64" i="1" s="1"/>
  <c r="K64" i="1"/>
  <c r="M64" i="1" s="1"/>
  <c r="O64" i="1" s="1"/>
  <c r="P63" i="1"/>
  <c r="S63" i="1" s="1"/>
  <c r="T63" i="1" s="1"/>
  <c r="K63" i="1"/>
  <c r="M63" i="1" s="1"/>
  <c r="O63" i="1" s="1"/>
  <c r="P62" i="1"/>
  <c r="S62" i="1" s="1"/>
  <c r="T62" i="1" s="1"/>
  <c r="K62" i="1"/>
  <c r="M62" i="1" s="1"/>
  <c r="O62" i="1" s="1"/>
  <c r="P61" i="1"/>
  <c r="S61" i="1" s="1"/>
  <c r="T61" i="1" s="1"/>
  <c r="K61" i="1"/>
  <c r="M61" i="1" s="1"/>
  <c r="O61" i="1" s="1"/>
  <c r="P59" i="1"/>
  <c r="S59" i="1" s="1"/>
  <c r="T59" i="1" s="1"/>
  <c r="K59" i="1"/>
  <c r="M59" i="1" s="1"/>
  <c r="O59" i="1" s="1"/>
  <c r="P58" i="1"/>
  <c r="S58" i="1" s="1"/>
  <c r="T58" i="1" s="1"/>
  <c r="J58" i="1"/>
  <c r="K58" i="1" s="1"/>
  <c r="M58" i="1" s="1"/>
  <c r="O58" i="1" s="1"/>
  <c r="P56" i="1"/>
  <c r="S56" i="1" s="1"/>
  <c r="T56" i="1" s="1"/>
  <c r="J56" i="1"/>
  <c r="K56" i="1" s="1"/>
  <c r="M56" i="1" s="1"/>
  <c r="O56" i="1" s="1"/>
  <c r="P55" i="1"/>
  <c r="S55" i="1" s="1"/>
  <c r="T55" i="1" s="1"/>
  <c r="K55" i="1"/>
  <c r="M55" i="1" s="1"/>
  <c r="O55" i="1" s="1"/>
  <c r="P54" i="1"/>
  <c r="S54" i="1" s="1"/>
  <c r="T54" i="1" s="1"/>
  <c r="K54" i="1"/>
  <c r="M54" i="1" s="1"/>
  <c r="O54" i="1" s="1"/>
  <c r="P53" i="1"/>
  <c r="S53" i="1" s="1"/>
  <c r="T53" i="1" s="1"/>
  <c r="K53" i="1"/>
  <c r="M53" i="1" s="1"/>
  <c r="O53" i="1" s="1"/>
  <c r="P52" i="1"/>
  <c r="S52" i="1" s="1"/>
  <c r="T52" i="1" s="1"/>
  <c r="K52" i="1"/>
  <c r="M52" i="1" s="1"/>
  <c r="O52" i="1" s="1"/>
  <c r="P50" i="1"/>
  <c r="S50" i="1" s="1"/>
  <c r="T50" i="1" s="1"/>
  <c r="J50" i="1"/>
  <c r="K50" i="1" s="1"/>
  <c r="M50" i="1" s="1"/>
  <c r="O50" i="1" s="1"/>
  <c r="P48" i="1"/>
  <c r="S48" i="1" s="1"/>
  <c r="T48" i="1" s="1"/>
  <c r="K48" i="1"/>
  <c r="M48" i="1" s="1"/>
  <c r="O48" i="1" s="1"/>
  <c r="P46" i="1"/>
  <c r="S46" i="1" s="1"/>
  <c r="T46" i="1" s="1"/>
  <c r="K46" i="1"/>
  <c r="M46" i="1" s="1"/>
  <c r="O46" i="1" s="1"/>
  <c r="P45" i="1"/>
  <c r="S45" i="1" s="1"/>
  <c r="T45" i="1" s="1"/>
  <c r="K45" i="1"/>
  <c r="M45" i="1" s="1"/>
  <c r="O45" i="1" s="1"/>
  <c r="P42" i="1"/>
  <c r="S42" i="1" s="1"/>
  <c r="T42" i="1" s="1"/>
  <c r="K42" i="1"/>
  <c r="M42" i="1" s="1"/>
  <c r="O42" i="1" s="1"/>
  <c r="P41" i="1"/>
  <c r="S41" i="1" s="1"/>
  <c r="T41" i="1" s="1"/>
  <c r="K41" i="1"/>
  <c r="M41" i="1" s="1"/>
  <c r="O41" i="1" s="1"/>
  <c r="P39" i="1"/>
  <c r="S39" i="1" s="1"/>
  <c r="T39" i="1" s="1"/>
  <c r="K39" i="1"/>
  <c r="M39" i="1" s="1"/>
  <c r="O39" i="1" s="1"/>
  <c r="P34" i="1"/>
  <c r="S34" i="1" s="1"/>
  <c r="T34" i="1" s="1"/>
  <c r="K34" i="1"/>
  <c r="M34" i="1" s="1"/>
  <c r="O34" i="1" s="1"/>
  <c r="P33" i="1"/>
  <c r="S33" i="1" s="1"/>
  <c r="T33" i="1" s="1"/>
  <c r="K33" i="1"/>
  <c r="M33" i="1" s="1"/>
  <c r="O33" i="1" s="1"/>
  <c r="P29" i="1"/>
  <c r="S29" i="1" s="1"/>
  <c r="T29" i="1" s="1"/>
  <c r="K29" i="1"/>
  <c r="M29" i="1" s="1"/>
  <c r="O29" i="1" s="1"/>
  <c r="P26" i="1"/>
  <c r="S26" i="1" s="1"/>
  <c r="T26" i="1" s="1"/>
  <c r="K26" i="1"/>
  <c r="M26" i="1" s="1"/>
  <c r="O26" i="1" s="1"/>
  <c r="P25" i="1"/>
  <c r="S25" i="1" s="1"/>
  <c r="T25" i="1" s="1"/>
  <c r="K25" i="1"/>
  <c r="M25" i="1" s="1"/>
  <c r="O25" i="1" s="1"/>
  <c r="P24" i="1"/>
  <c r="S24" i="1" s="1"/>
  <c r="T24" i="1" s="1"/>
  <c r="K24" i="1"/>
  <c r="M24" i="1" s="1"/>
  <c r="O24" i="1" s="1"/>
  <c r="P19" i="1"/>
  <c r="S19" i="1" s="1"/>
  <c r="T19" i="1" s="1"/>
  <c r="K19" i="1"/>
  <c r="M19" i="1" s="1"/>
  <c r="O19" i="1" s="1"/>
  <c r="P18" i="1"/>
  <c r="S18" i="1" s="1"/>
  <c r="T18" i="1" s="1"/>
  <c r="K18" i="1"/>
  <c r="M18" i="1" s="1"/>
  <c r="O18" i="1" s="1"/>
  <c r="P15" i="1"/>
  <c r="S15" i="1" s="1"/>
  <c r="T15" i="1" s="1"/>
  <c r="K15" i="1"/>
  <c r="M15" i="1" s="1"/>
  <c r="O15" i="1" s="1"/>
  <c r="P14" i="1"/>
  <c r="S14" i="1" s="1"/>
  <c r="T14" i="1" s="1"/>
  <c r="K14" i="1"/>
  <c r="M14" i="1" s="1"/>
  <c r="O14" i="1" s="1"/>
  <c r="P10" i="1"/>
  <c r="S10" i="1" s="1"/>
  <c r="T10" i="1" s="1"/>
  <c r="K10" i="1"/>
  <c r="M10" i="1" s="1"/>
  <c r="O10" i="1" s="1"/>
  <c r="P9" i="1"/>
  <c r="S9" i="1" s="1"/>
  <c r="T9" i="1" s="1"/>
  <c r="K9" i="1"/>
  <c r="M9" i="1" s="1"/>
  <c r="O9" i="1" s="1"/>
  <c r="P8" i="1"/>
  <c r="S8" i="1" s="1"/>
  <c r="T8" i="1" s="1"/>
  <c r="K8" i="1"/>
  <c r="M8" i="1" s="1"/>
  <c r="O8" i="1" s="1"/>
  <c r="H8" i="1"/>
  <c r="G8" i="1"/>
  <c r="P6" i="1"/>
  <c r="S6" i="1" s="1"/>
  <c r="T6" i="1" s="1"/>
  <c r="K6" i="1"/>
  <c r="M6" i="1" s="1"/>
  <c r="P3" i="1"/>
  <c r="S3" i="1" s="1"/>
  <c r="K3" i="1"/>
  <c r="M3" i="1" s="1"/>
  <c r="O3" i="1" s="1"/>
  <c r="S12" i="1" l="1"/>
  <c r="T12" i="1" s="1"/>
  <c r="M16" i="1"/>
  <c r="O16" i="1" s="1"/>
  <c r="M31" i="1"/>
  <c r="O31" i="1" s="1"/>
  <c r="S110" i="1"/>
  <c r="T110" i="1" s="1"/>
  <c r="M114" i="1"/>
  <c r="O114" i="1" s="1"/>
  <c r="M49" i="1"/>
  <c r="O49" i="1" s="1"/>
  <c r="S16" i="1"/>
  <c r="T16" i="1" s="1"/>
  <c r="S71" i="1"/>
  <c r="T71" i="1" s="1"/>
  <c r="S96" i="1"/>
  <c r="T96" i="1" s="1"/>
  <c r="S32" i="1"/>
  <c r="T32" i="1" s="1"/>
  <c r="T3" i="1"/>
  <c r="S117" i="1" l="1"/>
</calcChain>
</file>

<file path=xl/sharedStrings.xml><?xml version="1.0" encoding="utf-8"?>
<sst xmlns="http://schemas.openxmlformats.org/spreadsheetml/2006/main" count="519" uniqueCount="453">
  <si>
    <t>Agency</t>
  </si>
  <si>
    <t>FY19 Max</t>
  </si>
  <si>
    <t>CAT 2</t>
  </si>
  <si>
    <t>5a (1) Max</t>
  </si>
  <si>
    <t>E-Rate Pymt</t>
  </si>
  <si>
    <t>TEACH Reimb</t>
  </si>
  <si>
    <t>5a (2)/5b Max</t>
  </si>
  <si>
    <t>5a (1) List A REQ Amt</t>
  </si>
  <si>
    <t>5a (1)   List A REQ</t>
  </si>
  <si>
    <t>5a (2) List A REQ</t>
  </si>
  <si>
    <t>TOT List A REQ</t>
  </si>
  <si>
    <t>List B REQ</t>
  </si>
  <si>
    <t>TOT REQ</t>
  </si>
  <si>
    <t>TOTAL AWARD</t>
  </si>
  <si>
    <t>Check</t>
  </si>
  <si>
    <t>CONTACT</t>
  </si>
  <si>
    <t>CONTACT EMAIL</t>
  </si>
  <si>
    <t>LIBRARY ADDRESS</t>
  </si>
  <si>
    <t>Notes</t>
  </si>
  <si>
    <t>Adams County Library</t>
  </si>
  <si>
    <t>Vicki Teal Lovely</t>
  </si>
  <si>
    <t>vickiteal@scls.info</t>
  </si>
  <si>
    <t>569 North Cedar ST, Suite 1, Admas, WI  53910</t>
  </si>
  <si>
    <t>Albertson Memorial Library</t>
  </si>
  <si>
    <t>unk</t>
  </si>
  <si>
    <t>200 N Water ST, Albany, WI  53502</t>
  </si>
  <si>
    <t>Alma Public Library</t>
  </si>
  <si>
    <t>Rita Magno</t>
  </si>
  <si>
    <t>almapl@wrlsweb.org</t>
  </si>
  <si>
    <t>312 N Main ST, Alma, WI  54610</t>
  </si>
  <si>
    <t>Almond Branch (Portage County Public Library)</t>
  </si>
  <si>
    <t>1001 Main ST, Stevens Point, WI  54481</t>
  </si>
  <si>
    <t>Angie Williams Cox Public Library</t>
  </si>
  <si>
    <t>119 N Main ST, PO Box 370, Pardeeville, WI  53954</t>
  </si>
  <si>
    <t>Bekkum Memorial Public Library</t>
  </si>
  <si>
    <t>Michelle Tryggestad</t>
  </si>
  <si>
    <t>bekkuml@wrlsweb.org</t>
  </si>
  <si>
    <t>206 N Main ST, Westby, WI  54667</t>
  </si>
  <si>
    <t>Belleville Public Library</t>
  </si>
  <si>
    <t>130 S Vine ST, PO Box 140, Belleville, WI  53508</t>
  </si>
  <si>
    <t>Blair-Preston Public Library</t>
  </si>
  <si>
    <t>Krist McNamer</t>
  </si>
  <si>
    <t>blairpl@wrlsweb.org</t>
  </si>
  <si>
    <t>122 Urberg ST, Blair, WI  54616</t>
  </si>
  <si>
    <t>Brownsville Public Library</t>
  </si>
  <si>
    <t>Sue Kinyon</t>
  </si>
  <si>
    <t>skinyon@monarchlibraries.org</t>
  </si>
  <si>
    <t>379 Main ST, Brownsville, WI  53006</t>
  </si>
  <si>
    <t>Cashton Memorial Library</t>
  </si>
  <si>
    <t>Jill Bjornstad</t>
  </si>
  <si>
    <t>cashtonlib@wrlsweb.org</t>
  </si>
  <si>
    <t>720 Broadway ST, Cashton, WI  54619</t>
  </si>
  <si>
    <t>Cedar Grove Public Library</t>
  </si>
  <si>
    <t>Nicole Lynaugh</t>
  </si>
  <si>
    <t>nlynaugh@monarchlibraries.org</t>
  </si>
  <si>
    <t>131 Van Athens Avenue, Cedar Grove, WI  53013</t>
  </si>
  <si>
    <t>Clinton Public Library</t>
  </si>
  <si>
    <t>Mary Bieber</t>
  </si>
  <si>
    <t>Agency Info Sheet and benefit dates</t>
  </si>
  <si>
    <t>Community Library</t>
  </si>
  <si>
    <t>LeeAnn Briese</t>
  </si>
  <si>
    <t>lbriese@communitylib.org</t>
  </si>
  <si>
    <t>24615 89th ST, Salem, WI  53168</t>
  </si>
  <si>
    <t>De Soto Public Library</t>
  </si>
  <si>
    <t>Cheryl Russell</t>
  </si>
  <si>
    <t>desotopl@wrlsweb.org</t>
  </si>
  <si>
    <t>111 S Houghton ST,. De Soto, WI  54624</t>
  </si>
  <si>
    <t>Deerfield Public Library</t>
  </si>
  <si>
    <t>12 W Nelson ST, PO Box 408, Deerfield, WI  53531</t>
  </si>
  <si>
    <t>Elkhart Lake Public Library</t>
  </si>
  <si>
    <t>Betty McCartney</t>
  </si>
  <si>
    <t>bmccartney@monarchlibraries.org</t>
  </si>
  <si>
    <t>40 Pine ST, Elkhart Lake, WI  53020</t>
  </si>
  <si>
    <t>Elroy Public Library</t>
  </si>
  <si>
    <t>Kari Preuss</t>
  </si>
  <si>
    <t>elroypl@wrlsweb.org</t>
  </si>
  <si>
    <t>501 Second Main ST, Elroy, WI  53929</t>
  </si>
  <si>
    <t>Ettrick Public Library</t>
  </si>
  <si>
    <t>Jody Hanneman</t>
  </si>
  <si>
    <t>ettrickpl@wrlsweb.org</t>
  </si>
  <si>
    <t>13570 School ST, Ettrick, WI  54627</t>
  </si>
  <si>
    <t>Fox Lake Public Library</t>
  </si>
  <si>
    <t>Erin Anders</t>
  </si>
  <si>
    <t>eanders@monarchlibraries.org</t>
  </si>
  <si>
    <t>117 West State ST, Fox Lake, WI  53933</t>
  </si>
  <si>
    <t>Galesville Public Library</t>
  </si>
  <si>
    <t>Meredith Houge</t>
  </si>
  <si>
    <t>galespublib@wrlsweb.org</t>
  </si>
  <si>
    <t>16787 South Main ST, Galesville, WI  54630</t>
  </si>
  <si>
    <t>Hauge Memorial Library</t>
  </si>
  <si>
    <t>Gina Waters</t>
  </si>
  <si>
    <t>haugeml@triwest.net</t>
  </si>
  <si>
    <t>50655 Charles ST, Osseo, WI  54758</t>
  </si>
  <si>
    <t>Hillsboro Public Library</t>
  </si>
  <si>
    <t>Debra Lambert</t>
  </si>
  <si>
    <t>hilibrary@wrlsweb.org</t>
  </si>
  <si>
    <t>819 High AVE, Hillsboro, WI  54634</t>
  </si>
  <si>
    <t>Hustisford Community Library</t>
  </si>
  <si>
    <t>Annie Bahringer</t>
  </si>
  <si>
    <t>abahringer@monarchlibraries.org</t>
  </si>
  <si>
    <t>609 West Juneau ST, Hustiford, WI  53034</t>
  </si>
  <si>
    <t>Iola Village Library</t>
  </si>
  <si>
    <t>Robyn Grove</t>
  </si>
  <si>
    <t>regrove@iolalibrary.org</t>
  </si>
  <si>
    <t>180 South Main ST, Iola, WI  54945</t>
  </si>
  <si>
    <t>Iron Ridge Public Library</t>
  </si>
  <si>
    <t>Elizabeth Daniels</t>
  </si>
  <si>
    <t>edaniels@monarchlibraries.org</t>
  </si>
  <si>
    <t>205 Park ST, Iron Ridge, WI  53035</t>
  </si>
  <si>
    <t>Jane Morgan Memorial Library</t>
  </si>
  <si>
    <t>109 W Edgewater ST, PO box 477, Cambria, WI  53923</t>
  </si>
  <si>
    <t>Kendall Public Library</t>
  </si>
  <si>
    <t>Lynette Vlasak</t>
  </si>
  <si>
    <t>klibrary@wrlsweb.org</t>
  </si>
  <si>
    <t>110 East South Railroad ST, Kendall, WI  54638</t>
  </si>
  <si>
    <t>Knutson Memorial Library</t>
  </si>
  <si>
    <t>Karen Bernau</t>
  </si>
  <si>
    <t>cvlib@wrlsweb.org</t>
  </si>
  <si>
    <t>500 Central AVE, Coon Valley, WI  54623</t>
  </si>
  <si>
    <t>Kraemer Library &amp; Community Center</t>
  </si>
  <si>
    <t>910 Main ST, Plain, WI  53577</t>
  </si>
  <si>
    <t>Lakeview Community Library</t>
  </si>
  <si>
    <t>Jacqueline Rammer</t>
  </si>
  <si>
    <t>jrammer@monarachlibraries.org</t>
  </si>
  <si>
    <t>112 Butler ST, Random Lake, WI  53075</t>
  </si>
  <si>
    <t>Lawton Memorial Library</t>
  </si>
  <si>
    <t>Rita Wachuta-Breckel</t>
  </si>
  <si>
    <t>lafargepl@wrlsweb.org</t>
  </si>
  <si>
    <t>118 N Bird ST, La Farge, WI  54639</t>
  </si>
  <si>
    <t>Lester Public Library Of Rome</t>
  </si>
  <si>
    <t>1157 Rome Center DR, Nekoosa, WI  54457</t>
  </si>
  <si>
    <t>Lomira Quadgraphics Community Library</t>
  </si>
  <si>
    <t>Camrin Sullivan</t>
  </si>
  <si>
    <t>csullivan@monarchlibraries.org</t>
  </si>
  <si>
    <t>427 South Water ST, Lomira, WI  53048</t>
  </si>
  <si>
    <t>Lowell Public Library</t>
  </si>
  <si>
    <t>Dawn Murphy</t>
  </si>
  <si>
    <t>dmurphy@monarchlibraries.org</t>
  </si>
  <si>
    <t>105 North River ST, Lowell, WI  53557</t>
  </si>
  <si>
    <t>Milltown Public Library</t>
  </si>
  <si>
    <t>Bea Volgren</t>
  </si>
  <si>
    <t>bvolgren@milltownpubliclibrary.org</t>
  </si>
  <si>
    <t>61 West Main ST, Milltown, WI  54858</t>
  </si>
  <si>
    <t>Mondovi Public Library</t>
  </si>
  <si>
    <t>Katelyn Noack</t>
  </si>
  <si>
    <t>mondovipl@wrlsweb.org</t>
  </si>
  <si>
    <t>146 West Hudson ST, Mondovi, WI  54755</t>
  </si>
  <si>
    <t>Monticello Public Library</t>
  </si>
  <si>
    <t>512 E Lake AVE, PO Box 149, Monticello, WI  53570</t>
  </si>
  <si>
    <t>Necedah Community-Siegler Memorial Library</t>
  </si>
  <si>
    <t>Cathy Williams</t>
  </si>
  <si>
    <t>necmem@wrlsweb.org</t>
  </si>
  <si>
    <t>217 Oak Grove DR, Needah, WI  54646</t>
  </si>
  <si>
    <t>New Glarus Public Library</t>
  </si>
  <si>
    <t>319 Second ST PO Box 35, New Glarus, WI  53574</t>
  </si>
  <si>
    <t>New Lisbon Memorial Library</t>
  </si>
  <si>
    <t>Deanna Laufenberg</t>
  </si>
  <si>
    <t>nlploff@wrlsweb.org</t>
  </si>
  <si>
    <t>115 West Park ST, New Lisbon, WI  53950</t>
  </si>
  <si>
    <t>Norwalk Public Library</t>
  </si>
  <si>
    <t>Jeanne Rice</t>
  </si>
  <si>
    <t>norwalkpl@wrlsweb.org</t>
  </si>
  <si>
    <t>101 Railroad ST, Norwalk, WI  54648</t>
  </si>
  <si>
    <t>Ontario Public Library</t>
  </si>
  <si>
    <t>April Arndt</t>
  </si>
  <si>
    <t>ontlibr@wrlsweb.org</t>
  </si>
  <si>
    <t>313 Main ST, Ontario, WI  54651</t>
  </si>
  <si>
    <t>Poynette Area Public Library</t>
  </si>
  <si>
    <t>118 N Main ST Poynette, WI  53955</t>
  </si>
  <si>
    <t>Reeseville Public Library</t>
  </si>
  <si>
    <t>Kay Kromm</t>
  </si>
  <si>
    <t>kkromm@monarchlibraries.org</t>
  </si>
  <si>
    <t>216 South Main Street, Reeseville, WI  53579</t>
  </si>
  <si>
    <t>Rio Community Library</t>
  </si>
  <si>
    <t>324 W Lyons ST, PO Box 305, Rio, WI  53960</t>
  </si>
  <si>
    <t>Rock Springs Public Library</t>
  </si>
  <si>
    <t>101 First ST, PO Box 246, Rock Springs, WI  53961</t>
  </si>
  <si>
    <t>Rosholt Branch Library (Portage County Public Library)</t>
  </si>
  <si>
    <t>Scandinavia Public Library</t>
  </si>
  <si>
    <t>Susan Vater Olsen</t>
  </si>
  <si>
    <t>svater@scalib.org</t>
  </si>
  <si>
    <t>`349 N Main ST, PO Box 157, Scandinavia, WI  54977</t>
  </si>
  <si>
    <t>Shirley M. Wright Memorial Library</t>
  </si>
  <si>
    <t>Jessica Schoonover</t>
  </si>
  <si>
    <t>swmldirector@wrls.org</t>
  </si>
  <si>
    <t>11455 Fremont ST, Trempealeau, WI  54661</t>
  </si>
  <si>
    <t>Spring Green Community Library</t>
  </si>
  <si>
    <t>230 E Monroe ST, Spring Green, WI  53588</t>
  </si>
  <si>
    <t>Strum Public Library</t>
  </si>
  <si>
    <t>Dawn Hering</t>
  </si>
  <si>
    <t>strumpl@wrlsweb.org</t>
  </si>
  <si>
    <t>114 5th AVE North, Strum, WI  54770</t>
  </si>
  <si>
    <t>Taylor Memorial Library</t>
  </si>
  <si>
    <t>Kayla Pettis</t>
  </si>
  <si>
    <t>taylorlibrary@wrlsweb.org</t>
  </si>
  <si>
    <t>420 Second ST, Taylor, WI  54659</t>
  </si>
  <si>
    <t>Theresa Public Library</t>
  </si>
  <si>
    <t>Mary Alice Bodden</t>
  </si>
  <si>
    <t>mabodden@monarchlibraries.org</t>
  </si>
  <si>
    <t>290 Mayville ST, Theresa, WI  53091</t>
  </si>
  <si>
    <t>Whitehall Public Library</t>
  </si>
  <si>
    <t>Amanda Hegge</t>
  </si>
  <si>
    <t>whitehallpubliclibrary@wrlsweb.org</t>
  </si>
  <si>
    <t>36351 Main ST, Whitehall, WI  54773</t>
  </si>
  <si>
    <t>Wilton Public Library</t>
  </si>
  <si>
    <t>Gina Rae</t>
  </si>
  <si>
    <t>wiltonlibrary@wrlsweb.org</t>
  </si>
  <si>
    <t>400 East ST, Suite 102, Wilton, WI  54670</t>
  </si>
  <si>
    <t>Wonewoc Public Library</t>
  </si>
  <si>
    <t>Kim Dearth</t>
  </si>
  <si>
    <t>wonewoc@wrlsweb.org</t>
  </si>
  <si>
    <t>305 Center ST, Wonewoc, WI  53968</t>
  </si>
  <si>
    <t>Wyocena Public Library</t>
  </si>
  <si>
    <t>165 E Dodge ST, PO Box 913, Wyocena, WI  53969</t>
  </si>
  <si>
    <t>F-R L %</t>
  </si>
  <si>
    <t>Adams-Friendship Area School District</t>
  </si>
  <si>
    <t>Veronica VanDerhyden</t>
  </si>
  <si>
    <t>vanderhyden_v@afasd.net</t>
  </si>
  <si>
    <t>201 W 6th ST, Friendship, WI   53934</t>
  </si>
  <si>
    <t>Albany School District</t>
  </si>
  <si>
    <t>David Bikowski</t>
  </si>
  <si>
    <t>david.bikowski@albany.k12.wi.us</t>
  </si>
  <si>
    <t>400 5th ST, Albany, WI  53502</t>
  </si>
  <si>
    <t>School District of Alma Center</t>
  </si>
  <si>
    <t>Paul Fischer</t>
  </si>
  <si>
    <t>paul_fischer@achm.k12.wi.us</t>
  </si>
  <si>
    <t>124 S School ST, Alma Center, WI  54611</t>
  </si>
  <si>
    <t>is battery UPS? Coded as Basic Maint.</t>
  </si>
  <si>
    <t>School District of Athens*</t>
  </si>
  <si>
    <t>Nathan Brost</t>
  </si>
  <si>
    <t>nbrost@athens1.org</t>
  </si>
  <si>
    <t>601 West Limits RD, Athens, WI  54411</t>
  </si>
  <si>
    <t>Barron Area School District</t>
  </si>
  <si>
    <t>Andrew Sloan</t>
  </si>
  <si>
    <t>sloana@barron.k12.wi.us</t>
  </si>
  <si>
    <t>100 West River AVE, Barron, WI  54812</t>
  </si>
  <si>
    <t>School District of Bayfield</t>
  </si>
  <si>
    <t>Chris Plansky</t>
  </si>
  <si>
    <t>cplansky@bayfield.k12.wi.us</t>
  </si>
  <si>
    <t xml:space="preserve">300 N 4th ST, </t>
  </si>
  <si>
    <t>Benton School District</t>
  </si>
  <si>
    <t>Todd Bastian</t>
  </si>
  <si>
    <t>tbastian@benton.k12.wi.us</t>
  </si>
  <si>
    <t>41 Alma ST, Benton, WI  53803</t>
  </si>
  <si>
    <t>School District of Black Hawk</t>
  </si>
  <si>
    <t>Willy Chambers</t>
  </si>
  <si>
    <t>chawil@blackhawk.k12.wi.us</t>
  </si>
  <si>
    <t>202 E Center Street, South Wayne, WI  53587</t>
  </si>
  <si>
    <t>Cadott Community School District</t>
  </si>
  <si>
    <t>Susan Shakal</t>
  </si>
  <si>
    <t>shakals@cadott.k2.wi.us</t>
  </si>
  <si>
    <t>426 Myrtle ST, Cadott, WI  54727</t>
  </si>
  <si>
    <t>School District of Cambridge</t>
  </si>
  <si>
    <t>Mark Worthing</t>
  </si>
  <si>
    <t>mworthing@cambridge.k12.wi.us</t>
  </si>
  <si>
    <t>403 Blue Jay WAY, Cambridge, WI  53523</t>
  </si>
  <si>
    <t>Cameron School District</t>
  </si>
  <si>
    <t>Joe Leschisin</t>
  </si>
  <si>
    <t>jleschisin@cameron.k12.wi.uw</t>
  </si>
  <si>
    <t>700 S 1st ST, Cameron, WI   54822</t>
  </si>
  <si>
    <t>Campbellsport School District</t>
  </si>
  <si>
    <t>Sherman Gengler</t>
  </si>
  <si>
    <t>sgengler@csd.k12.wi.us</t>
  </si>
  <si>
    <t>114 W Sheboygan ST, Campbellsport, WI  53010</t>
  </si>
  <si>
    <t>Cochrane-Fountain City School District</t>
  </si>
  <si>
    <t>Thomas Hiebert</t>
  </si>
  <si>
    <t>thiebert@cfc.k12.wi.us</t>
  </si>
  <si>
    <t>S2770 State Highway 35, Fountain City, WI  54629</t>
  </si>
  <si>
    <t>Colfax School District</t>
  </si>
  <si>
    <t>John Dachel</t>
  </si>
  <si>
    <t>dachel@colfax.k12.wi.us</t>
  </si>
  <si>
    <t>601 University AVE, Colfax, WI  54730</t>
  </si>
  <si>
    <t>Crivitz School District</t>
  </si>
  <si>
    <t>Nicholas Schramm</t>
  </si>
  <si>
    <t>nschramm@crivitz.k12.wi.us</t>
  </si>
  <si>
    <t>400 South AVE, Crivitz, WI  54114</t>
  </si>
  <si>
    <t>School District of Cuba City</t>
  </si>
  <si>
    <t>Aaron Olson</t>
  </si>
  <si>
    <t>aaron.olson@cubacity.k12.wi.us</t>
  </si>
  <si>
    <t>101 N School ST, Cuba City, WI  53807</t>
  </si>
  <si>
    <t>need dates</t>
  </si>
  <si>
    <t>Cumberland School District</t>
  </si>
  <si>
    <t>Steve Mann</t>
  </si>
  <si>
    <t>smann@csdmail.com</t>
  </si>
  <si>
    <t>1010 8th AVE, Cumberland, WI  54829</t>
  </si>
  <si>
    <t>School District of Denmark</t>
  </si>
  <si>
    <t>Janelle Marotz</t>
  </si>
  <si>
    <t>marotzj@denmark.k12.wi.us</t>
  </si>
  <si>
    <t>450 North Wall ST, Denmark, WI  54208</t>
  </si>
  <si>
    <t>Dodgeville School District</t>
  </si>
  <si>
    <t>Lisa Spady</t>
  </si>
  <si>
    <t>lspady@draschools.org</t>
  </si>
  <si>
    <t>916 W Chapel ST, Dodgeville, WI  53533</t>
  </si>
  <si>
    <t>Edgar School District</t>
  </si>
  <si>
    <t>Chris Trawicki</t>
  </si>
  <si>
    <t>ctrawicki@gapps.edgar.k12.wi.us</t>
  </si>
  <si>
    <t>2013 E Birch ST, Edgar, WI  54426</t>
  </si>
  <si>
    <t>verify infrastructure</t>
  </si>
  <si>
    <t>Elk Mound Area School District</t>
  </si>
  <si>
    <t>Mary Harrison</t>
  </si>
  <si>
    <t>mharrison@elkmound.k12.wi.us</t>
  </si>
  <si>
    <t>405 University ST, Elk Mound, WI  54739</t>
  </si>
  <si>
    <t>Ellsworth Community School District</t>
  </si>
  <si>
    <t>Geoff Pogorelski</t>
  </si>
  <si>
    <t>gogorelskig@ellsworth.k12.k12.wi.us</t>
  </si>
  <si>
    <t>300 Hillcrest ST, PO Box 1500, Ellsworth, WI  54011</t>
  </si>
  <si>
    <t>Fennimore Community Schools</t>
  </si>
  <si>
    <t>Kim Droessler</t>
  </si>
  <si>
    <t>droesslerk@fennimore.k12.wi.us</t>
  </si>
  <si>
    <t>1397 9th ST, Fennimore, WI  53809</t>
  </si>
  <si>
    <t>Flambeau School District</t>
  </si>
  <si>
    <t>Bobbi Bruce</t>
  </si>
  <si>
    <t>bobbi.bruce@flambeauschools.org</t>
  </si>
  <si>
    <t>N4540 CTH I, Tony, WI  54563</t>
  </si>
  <si>
    <t>Gresham School District</t>
  </si>
  <si>
    <t>Benjamin Dieck</t>
  </si>
  <si>
    <t>greshamadmin@gresham.k12.wi.us</t>
  </si>
  <si>
    <t>W7787 Oak Ave, Gresham, WI  54128</t>
  </si>
  <si>
    <t>Highland School District</t>
  </si>
  <si>
    <t>Brad Tucker</t>
  </si>
  <si>
    <t>btucker@highland.k12.wi.us</t>
  </si>
  <si>
    <t>1030 Cardinal DR, Highland, WI  53543</t>
  </si>
  <si>
    <t>School District of Horicon</t>
  </si>
  <si>
    <t>Jeff Williams</t>
  </si>
  <si>
    <t>jwilliams@horicon.k12.wi.us</t>
  </si>
  <si>
    <t>611 Mill Street, Horicon, WI  53032</t>
  </si>
  <si>
    <t>Kickapoo Area School District</t>
  </si>
  <si>
    <t>Kent Petersen</t>
  </si>
  <si>
    <t>kpetersen@kickapoo.k12.wi.us</t>
  </si>
  <si>
    <t>S6520 State Highway 131, Viola, WI  54664</t>
  </si>
  <si>
    <t>Lake Geneva-Genoa UHS</t>
  </si>
  <si>
    <t>Dan Schmidt</t>
  </si>
  <si>
    <t>daniel.schmidt@badger.k12.wi.us</t>
  </si>
  <si>
    <t>220 E South ST, Lake Geneva,  53147</t>
  </si>
  <si>
    <t>School District of Lomira</t>
  </si>
  <si>
    <t>Paul Schaeve</t>
  </si>
  <si>
    <t>pschaeve@lomira.k12.wi.us</t>
  </si>
  <si>
    <t>1030 4th Street, Lomira, WI  53048</t>
  </si>
  <si>
    <t>Luxemburg-Casco School District</t>
  </si>
  <si>
    <t>Scott Waldow</t>
  </si>
  <si>
    <t>swaldow@luxcasco.k12.wi.us</t>
  </si>
  <si>
    <t>318 N Main ST, Luxemburg, WI  54217</t>
  </si>
  <si>
    <t>Mayville School District</t>
  </si>
  <si>
    <t>Susan Wery</t>
  </si>
  <si>
    <t>swery@mayville.k12.wi.us</t>
  </si>
  <si>
    <t>N8210 Hwy 28, Mayville, WI  53050</t>
  </si>
  <si>
    <t>Mercer School District</t>
  </si>
  <si>
    <t>Mary Maderich</t>
  </si>
  <si>
    <t>marym@cesa12.org</t>
  </si>
  <si>
    <t>2690 W Margaret ST, Mercer, WI  54547</t>
  </si>
  <si>
    <t>Minocqua J1 School District</t>
  </si>
  <si>
    <t>jay Christgau</t>
  </si>
  <si>
    <t>jchristgau@mhlt.org</t>
  </si>
  <si>
    <t>7450 Titus Drive, Minocqua, WI  54548</t>
  </si>
  <si>
    <t>School District of Mondovi</t>
  </si>
  <si>
    <t>Kristi Zarins</t>
  </si>
  <si>
    <t>kzarins@mondovi.k12.wi.us</t>
  </si>
  <si>
    <t>337 N Jackson ST, Mondovi, WI  54755</t>
  </si>
  <si>
    <t>School District of Neillsville</t>
  </si>
  <si>
    <t>Matthew Diestler</t>
  </si>
  <si>
    <t>mdiestler@neillsville.k12.wi.us</t>
  </si>
  <si>
    <t>614 East 5th ST, Neillsville, WI  54456</t>
  </si>
  <si>
    <t>School District of New London</t>
  </si>
  <si>
    <t xml:space="preserve">Joseph Marquardt </t>
  </si>
  <si>
    <t>jmarquar@newlondon.k12.wi.us</t>
  </si>
  <si>
    <t>901 W Washington ST, New London, WI  54961</t>
  </si>
  <si>
    <t>Northland Pines School District</t>
  </si>
  <si>
    <t>Harlan Leusink</t>
  </si>
  <si>
    <t>hleusink@npsd.k12.wi.us</t>
  </si>
  <si>
    <t>1800 Pleasure Island RD, Eagle River, WI  54521</t>
  </si>
  <si>
    <t>Norway J7 School District</t>
  </si>
  <si>
    <t>Marissa Joehnk</t>
  </si>
  <si>
    <t>joehnk@droughtschool.net</t>
  </si>
  <si>
    <t>21016 W 7 Mile RD, Franksville, WI  53126</t>
  </si>
  <si>
    <t>Oconto Unified School District</t>
  </si>
  <si>
    <t>Scott Boucher</t>
  </si>
  <si>
    <t>scott@oconto.k12.wi.us</t>
  </si>
  <si>
    <t>400 Michigan AVE, Oconto, WI  54153</t>
  </si>
  <si>
    <t>Paris J1</t>
  </si>
  <si>
    <t>Christy Hoff</t>
  </si>
  <si>
    <t>choff@paris.k12.wi.us</t>
  </si>
  <si>
    <t>1901 - 176th AVE, Kenosha, WI  53144</t>
  </si>
  <si>
    <t>School District of Pittsville</t>
  </si>
  <si>
    <t>Pamela Tesch</t>
  </si>
  <si>
    <t>pteschpam@pittsville.k12.wi.us</t>
  </si>
  <si>
    <t>5459 Elementary AVE, Suite 2, Pittsville, WI  54466</t>
  </si>
  <si>
    <t>Reedsville School District</t>
  </si>
  <si>
    <t>Denise DeMeyer</t>
  </si>
  <si>
    <t>ddemeyer@reedsville.k12.wi.us</t>
  </si>
  <si>
    <t>340 Manitowoc ST, Reedsville, WI  54230</t>
  </si>
  <si>
    <t>Rio Community School District</t>
  </si>
  <si>
    <t>Lois Sunde</t>
  </si>
  <si>
    <t>sunde@rio.k12.wi.us</t>
  </si>
  <si>
    <t>411 Church ST, Rio, WI  53960</t>
  </si>
  <si>
    <t>School District of Shullsburg</t>
  </si>
  <si>
    <t>Dana Bendorf &amp; Mark Lierman</t>
  </si>
  <si>
    <t>dbendorf@shullsburg.k12.wi.us  mlierman@shullsburg.k12.wi.us</t>
  </si>
  <si>
    <t>444 N Judgement ST, Shullsburg, WI  53586</t>
  </si>
  <si>
    <t>School District of Siren</t>
  </si>
  <si>
    <t>Jessica Jackson</t>
  </si>
  <si>
    <t>jjackson@siren.k12.wi.us</t>
  </si>
  <si>
    <t>24022 4th AVE, Siren, WI  54872</t>
  </si>
  <si>
    <t>Solon Springs School District</t>
  </si>
  <si>
    <t>8993 East Baldwin, Solon Springs, WI  54587</t>
  </si>
  <si>
    <t>Southern Door County School District</t>
  </si>
  <si>
    <t>Angela Olson</t>
  </si>
  <si>
    <t>aolson@southerndoor.k12.wi.us</t>
  </si>
  <si>
    <t>2073 CTY TRK DI, Brussels, WI  54204</t>
  </si>
  <si>
    <t>Southwestern Wisconsin Community Schools</t>
  </si>
  <si>
    <t>John Costello</t>
  </si>
  <si>
    <t>costelloj@swsd.k12.wi.us</t>
  </si>
  <si>
    <t>1105 Maple ST, PO Box 368, Hazel Green, WI  53811</t>
  </si>
  <si>
    <t>Spencer Public Schools</t>
  </si>
  <si>
    <t>Sue Bauer</t>
  </si>
  <si>
    <t>sbauer@spencer.k12.wi.us</t>
  </si>
  <si>
    <t>300 N School ST, Spencer, WI  54479</t>
  </si>
  <si>
    <t>Stockbridge School District</t>
  </si>
  <si>
    <t>Kati Forstner</t>
  </si>
  <si>
    <t>katforstner@stockbridge.k12.wi.us</t>
  </si>
  <si>
    <t>110 School ST, PO Box 188, Stockbridge, WI  53088</t>
  </si>
  <si>
    <t>School District of Stratford</t>
  </si>
  <si>
    <t>Scott Bauman</t>
  </si>
  <si>
    <t>scbauman@gapps.stratford.k12.wi.us</t>
  </si>
  <si>
    <t>522 N 3rd AVE, PO Box 7, Stratford, WI  54484</t>
  </si>
  <si>
    <t>Superior School District</t>
  </si>
  <si>
    <t>Ryan Engstrom</t>
  </si>
  <si>
    <t>ryan.engstrom@superior.k12.wi.us</t>
  </si>
  <si>
    <t>3025 Tower AVE, Superior, WI  54880</t>
  </si>
  <si>
    <t>Suring Public School District</t>
  </si>
  <si>
    <t>Laura Strehlow</t>
  </si>
  <si>
    <t>laura@suringk12.org</t>
  </si>
  <si>
    <t>411 E Algoma ST, Suring, WI  54174</t>
  </si>
  <si>
    <t>need dates only, infrastructure verified.</t>
  </si>
  <si>
    <t>Waterloo School District</t>
  </si>
  <si>
    <t>Cory Calvert</t>
  </si>
  <si>
    <t>calvertc@waterloo.k12.wi.us</t>
  </si>
  <si>
    <t>813 N Monroe ST, Waterloo, WI  53594</t>
  </si>
  <si>
    <t xml:space="preserve">Dates 5a (2) </t>
  </si>
  <si>
    <t>School District of Wauzeka-Steuben</t>
  </si>
  <si>
    <t>Derek Flansburgh</t>
  </si>
  <si>
    <t>flansder@wauzeka.k12.wi.us</t>
  </si>
  <si>
    <t>301 East Main ST, Wauzeka, WI  53826</t>
  </si>
  <si>
    <t>Wittenberg-Birnamwood School District</t>
  </si>
  <si>
    <t>Johann Radloff</t>
  </si>
  <si>
    <t>jradloff@wittbrn.k12.wi.us</t>
  </si>
  <si>
    <t>400 W Grand AVE, Wittenberg, WI  54499</t>
  </si>
  <si>
    <t>x</t>
  </si>
  <si>
    <t>TRP*</t>
  </si>
  <si>
    <t>LIST B - 100% AWARD   5b</t>
  </si>
  <si>
    <t>LIST A - 100% AWARD   5a (2)</t>
  </si>
  <si>
    <t>LIST A - TRP AWARD   5a (1)</t>
  </si>
  <si>
    <t>*'TRP - TEACH Reimbursement %</t>
  </si>
  <si>
    <t>Total FY19 Infrastructure Award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</si>
</sst>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;[Red]&quot;$&quot;#,##0"/>
    <numFmt numFmtId="165" formatCode="0.0%"/>
  </numFmts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u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theme="0" tint="-0.14999847407452621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6">
    <xf numFmtId="0" fontId="0" fillId="0" borderId="0" xfId="0"/>
    <xf numFmtId="0" fontId="5" fillId="2" borderId="0" xfId="0" applyFont="1" applyFill="1" applyAlignment="1">
      <alignment horizontal="center" vertical="center" wrapText="1"/>
    </xf>
    <xf numFmtId="164" fontId="5" fillId="2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2" fillId="3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0" xfId="0" applyNumberFormat="1"/>
    <xf numFmtId="164" fontId="2" fillId="0" borderId="0" xfId="0" applyNumberFormat="1" applyFont="1"/>
    <xf numFmtId="0" fontId="2" fillId="0" borderId="0" xfId="0" applyFont="1"/>
    <xf numFmtId="0" fontId="0" fillId="0" borderId="0" xfId="0" applyFill="1"/>
    <xf numFmtId="0" fontId="4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5" fontId="2" fillId="0" borderId="1" xfId="0" applyNumberFormat="1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right" vertical="center"/>
    </xf>
    <xf numFmtId="0" fontId="3" fillId="0" borderId="0" xfId="1" applyAlignment="1">
      <alignment vertical="center"/>
    </xf>
    <xf numFmtId="0" fontId="0" fillId="0" borderId="1" xfId="0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1" fillId="0" borderId="1" xfId="0" quotePrefix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164" fontId="6" fillId="5" borderId="0" xfId="0" applyNumberFormat="1" applyFont="1" applyFill="1" applyAlignment="1">
      <alignment vertical="center"/>
    </xf>
    <xf numFmtId="0" fontId="6" fillId="5" borderId="0" xfId="0" applyFont="1" applyFill="1" applyAlignment="1">
      <alignment vertical="center"/>
    </xf>
    <xf numFmtId="0" fontId="12" fillId="5" borderId="0" xfId="1" applyFont="1" applyFill="1" applyAlignment="1">
      <alignment vertical="center"/>
    </xf>
    <xf numFmtId="0" fontId="7" fillId="5" borderId="0" xfId="0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164" fontId="8" fillId="2" borderId="0" xfId="0" applyNumberFormat="1" applyFont="1" applyFill="1" applyAlignment="1">
      <alignment vertical="center"/>
    </xf>
    <xf numFmtId="0" fontId="6" fillId="4" borderId="1" xfId="0" applyFont="1" applyFill="1" applyBorder="1" applyAlignment="1">
      <alignment horizontal="left" vertical="center"/>
    </xf>
    <xf numFmtId="9" fontId="6" fillId="4" borderId="1" xfId="0" applyNumberFormat="1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right" vertical="center"/>
    </xf>
    <xf numFmtId="164" fontId="6" fillId="5" borderId="1" xfId="0" applyNumberFormat="1" applyFont="1" applyFill="1" applyBorder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vickiteal@scls.info" TargetMode="External"/><Relationship Id="rId21" Type="http://schemas.openxmlformats.org/officeDocument/2006/relationships/hyperlink" Target="mailto:taylorlibrary@wrlsweb.org" TargetMode="External"/><Relationship Id="rId42" Type="http://schemas.openxmlformats.org/officeDocument/2006/relationships/hyperlink" Target="mailto:vickiteal@scls.info" TargetMode="External"/><Relationship Id="rId47" Type="http://schemas.openxmlformats.org/officeDocument/2006/relationships/hyperlink" Target="mailto:vickiteal@scls.info" TargetMode="External"/><Relationship Id="rId63" Type="http://schemas.openxmlformats.org/officeDocument/2006/relationships/hyperlink" Target="mailto:flansder@wauzeka.k12.wi.us" TargetMode="External"/><Relationship Id="rId68" Type="http://schemas.openxmlformats.org/officeDocument/2006/relationships/hyperlink" Target="mailto:ctrawicki@gapps.edgar.k12.wi.us" TargetMode="External"/><Relationship Id="rId84" Type="http://schemas.openxmlformats.org/officeDocument/2006/relationships/hyperlink" Target="mailto:sloana@barron.k12.wi.us" TargetMode="External"/><Relationship Id="rId89" Type="http://schemas.openxmlformats.org/officeDocument/2006/relationships/hyperlink" Target="mailto:joehnk@droughtschool.net" TargetMode="External"/><Relationship Id="rId112" Type="http://schemas.openxmlformats.org/officeDocument/2006/relationships/hyperlink" Target="mailto:thiebert@cfc.k12.wi.us" TargetMode="External"/><Relationship Id="rId2" Type="http://schemas.openxmlformats.org/officeDocument/2006/relationships/hyperlink" Target="mailto:bekkuml@wrlsweb.org" TargetMode="External"/><Relationship Id="rId16" Type="http://schemas.openxmlformats.org/officeDocument/2006/relationships/hyperlink" Target="mailto:norwalkpl@wrlsweb.org" TargetMode="External"/><Relationship Id="rId29" Type="http://schemas.openxmlformats.org/officeDocument/2006/relationships/hyperlink" Target="mailto:bmccartney@monarchlibraries.org" TargetMode="External"/><Relationship Id="rId107" Type="http://schemas.openxmlformats.org/officeDocument/2006/relationships/hyperlink" Target="mailto:jradloff@wittbrn.k12.wi.us" TargetMode="External"/><Relationship Id="rId11" Type="http://schemas.openxmlformats.org/officeDocument/2006/relationships/hyperlink" Target="mailto:cvlib@wrlsweb.org" TargetMode="External"/><Relationship Id="rId24" Type="http://schemas.openxmlformats.org/officeDocument/2006/relationships/hyperlink" Target="mailto:whitehallpubliclibrary@wrlsweb.org" TargetMode="External"/><Relationship Id="rId32" Type="http://schemas.openxmlformats.org/officeDocument/2006/relationships/hyperlink" Target="mailto:jrammer@monarachlibraries.org" TargetMode="External"/><Relationship Id="rId37" Type="http://schemas.openxmlformats.org/officeDocument/2006/relationships/hyperlink" Target="mailto:lbriese@communitylib.org" TargetMode="External"/><Relationship Id="rId40" Type="http://schemas.openxmlformats.org/officeDocument/2006/relationships/hyperlink" Target="mailto:kkromm@monarchlibraries.org" TargetMode="External"/><Relationship Id="rId45" Type="http://schemas.openxmlformats.org/officeDocument/2006/relationships/hyperlink" Target="mailto:vickiteal@scls.info" TargetMode="External"/><Relationship Id="rId53" Type="http://schemas.openxmlformats.org/officeDocument/2006/relationships/hyperlink" Target="mailto:vickiteal@scls.info" TargetMode="External"/><Relationship Id="rId58" Type="http://schemas.openxmlformats.org/officeDocument/2006/relationships/hyperlink" Target="mailto:pschaeve@lomira.k12.wi.us" TargetMode="External"/><Relationship Id="rId66" Type="http://schemas.openxmlformats.org/officeDocument/2006/relationships/hyperlink" Target="mailto:laura@suringk12.org" TargetMode="External"/><Relationship Id="rId74" Type="http://schemas.openxmlformats.org/officeDocument/2006/relationships/hyperlink" Target="mailto:jleschisin@cameron.k12.wi.uw" TargetMode="External"/><Relationship Id="rId79" Type="http://schemas.openxmlformats.org/officeDocument/2006/relationships/hyperlink" Target="mailto:choff@paris.k12.wi.us" TargetMode="External"/><Relationship Id="rId87" Type="http://schemas.openxmlformats.org/officeDocument/2006/relationships/hyperlink" Target="mailto:jmarquar@newlondon.k12.wi.us" TargetMode="External"/><Relationship Id="rId102" Type="http://schemas.openxmlformats.org/officeDocument/2006/relationships/hyperlink" Target="mailto:ddemeyer@reedsville.k12.wi.us" TargetMode="External"/><Relationship Id="rId110" Type="http://schemas.openxmlformats.org/officeDocument/2006/relationships/hyperlink" Target="mailto:jchristgau@mhlt.org" TargetMode="External"/><Relationship Id="rId5" Type="http://schemas.openxmlformats.org/officeDocument/2006/relationships/hyperlink" Target="mailto:desotopl@wrlsweb.org" TargetMode="External"/><Relationship Id="rId61" Type="http://schemas.openxmlformats.org/officeDocument/2006/relationships/hyperlink" Target="mailto:ryan.engstrom@superior.k12.wi.us" TargetMode="External"/><Relationship Id="rId82" Type="http://schemas.openxmlformats.org/officeDocument/2006/relationships/hyperlink" Target="mailto:marotzj@denmark.k12.wi.us" TargetMode="External"/><Relationship Id="rId90" Type="http://schemas.openxmlformats.org/officeDocument/2006/relationships/hyperlink" Target="mailto:mharrison@elkmound.k12.wi.us" TargetMode="External"/><Relationship Id="rId95" Type="http://schemas.openxmlformats.org/officeDocument/2006/relationships/hyperlink" Target="mailto:mworthing@cambridge.k12.wi.us" TargetMode="External"/><Relationship Id="rId19" Type="http://schemas.openxmlformats.org/officeDocument/2006/relationships/hyperlink" Target="mailto:swmldirector@wrls.org" TargetMode="External"/><Relationship Id="rId14" Type="http://schemas.openxmlformats.org/officeDocument/2006/relationships/hyperlink" Target="mailto:necmem@wrlsweb.org" TargetMode="External"/><Relationship Id="rId22" Type="http://schemas.openxmlformats.org/officeDocument/2006/relationships/hyperlink" Target="mailto:wiltonlibrary@wrlsweb.org" TargetMode="External"/><Relationship Id="rId27" Type="http://schemas.openxmlformats.org/officeDocument/2006/relationships/hyperlink" Target="mailto:skinyon@monarchlibraries.org" TargetMode="External"/><Relationship Id="rId30" Type="http://schemas.openxmlformats.org/officeDocument/2006/relationships/hyperlink" Target="mailto:eanders@monarchlibraries.org" TargetMode="External"/><Relationship Id="rId35" Type="http://schemas.openxmlformats.org/officeDocument/2006/relationships/hyperlink" Target="mailto:mabodden@monarchlibraries.org" TargetMode="External"/><Relationship Id="rId43" Type="http://schemas.openxmlformats.org/officeDocument/2006/relationships/hyperlink" Target="mailto:vickiteal@scls.info" TargetMode="External"/><Relationship Id="rId48" Type="http://schemas.openxmlformats.org/officeDocument/2006/relationships/hyperlink" Target="mailto:vickiteal@scls.info" TargetMode="External"/><Relationship Id="rId56" Type="http://schemas.openxmlformats.org/officeDocument/2006/relationships/hyperlink" Target="mailto:vickiteal@scls.info" TargetMode="External"/><Relationship Id="rId64" Type="http://schemas.openxmlformats.org/officeDocument/2006/relationships/hyperlink" Target="mailto:mdiestler@neillsville.k12.wi.us" TargetMode="External"/><Relationship Id="rId69" Type="http://schemas.openxmlformats.org/officeDocument/2006/relationships/hyperlink" Target="mailto:nschramm@crivitz.k12.wi.us" TargetMode="External"/><Relationship Id="rId77" Type="http://schemas.openxmlformats.org/officeDocument/2006/relationships/hyperlink" Target="mailto:vanderhyden_v@afasd.net" TargetMode="External"/><Relationship Id="rId100" Type="http://schemas.openxmlformats.org/officeDocument/2006/relationships/hyperlink" Target="mailto:hleusink@npsd.k12.wi.us" TargetMode="External"/><Relationship Id="rId105" Type="http://schemas.openxmlformats.org/officeDocument/2006/relationships/hyperlink" Target="mailto:marym@cesa12.org" TargetMode="External"/><Relationship Id="rId113" Type="http://schemas.openxmlformats.org/officeDocument/2006/relationships/printerSettings" Target="../printerSettings/printerSettings1.bin"/><Relationship Id="rId8" Type="http://schemas.openxmlformats.org/officeDocument/2006/relationships/hyperlink" Target="mailto:galespublib@wrlsweb.org" TargetMode="External"/><Relationship Id="rId51" Type="http://schemas.openxmlformats.org/officeDocument/2006/relationships/hyperlink" Target="mailto:vickiteal@scls.info" TargetMode="External"/><Relationship Id="rId72" Type="http://schemas.openxmlformats.org/officeDocument/2006/relationships/hyperlink" Target="mailto:aaron.olson@cubacity.k12.wi.us" TargetMode="External"/><Relationship Id="rId80" Type="http://schemas.openxmlformats.org/officeDocument/2006/relationships/hyperlink" Target="mailto:droesslerk@fennimore.k12.wi.us" TargetMode="External"/><Relationship Id="rId85" Type="http://schemas.openxmlformats.org/officeDocument/2006/relationships/hyperlink" Target="mailto:kzarins@mondovi.k12.wi.us" TargetMode="External"/><Relationship Id="rId93" Type="http://schemas.openxmlformats.org/officeDocument/2006/relationships/hyperlink" Target="mailto:cplansky@bayfield.k12.wi.us" TargetMode="External"/><Relationship Id="rId98" Type="http://schemas.openxmlformats.org/officeDocument/2006/relationships/hyperlink" Target="mailto:aolson@southerndoor.k12.wi.us" TargetMode="External"/><Relationship Id="rId3" Type="http://schemas.openxmlformats.org/officeDocument/2006/relationships/hyperlink" Target="mailto:blairpl@wrlsweb.org" TargetMode="External"/><Relationship Id="rId12" Type="http://schemas.openxmlformats.org/officeDocument/2006/relationships/hyperlink" Target="mailto:lafargepl@wrlsweb.org" TargetMode="External"/><Relationship Id="rId17" Type="http://schemas.openxmlformats.org/officeDocument/2006/relationships/hyperlink" Target="mailto:ontlibr@wrlsweb.org" TargetMode="External"/><Relationship Id="rId25" Type="http://schemas.openxmlformats.org/officeDocument/2006/relationships/hyperlink" Target="mailto:regrove@iolalibrary.org" TargetMode="External"/><Relationship Id="rId33" Type="http://schemas.openxmlformats.org/officeDocument/2006/relationships/hyperlink" Target="mailto:csullivan@monarchlibraries.org" TargetMode="External"/><Relationship Id="rId38" Type="http://schemas.openxmlformats.org/officeDocument/2006/relationships/hyperlink" Target="mailto:svater@scalib.org" TargetMode="External"/><Relationship Id="rId46" Type="http://schemas.openxmlformats.org/officeDocument/2006/relationships/hyperlink" Target="mailto:vickiteal@scls.info" TargetMode="External"/><Relationship Id="rId59" Type="http://schemas.openxmlformats.org/officeDocument/2006/relationships/hyperlink" Target="mailto:jwilliams@horicon.k12.wi.us" TargetMode="External"/><Relationship Id="rId67" Type="http://schemas.openxmlformats.org/officeDocument/2006/relationships/hyperlink" Target="mailto:shakals@cadott.k2.wi.us" TargetMode="External"/><Relationship Id="rId103" Type="http://schemas.openxmlformats.org/officeDocument/2006/relationships/hyperlink" Target="mailto:gogorelskig@ellsworth.k12.k12.wi.us" TargetMode="External"/><Relationship Id="rId108" Type="http://schemas.openxmlformats.org/officeDocument/2006/relationships/hyperlink" Target="mailto:calvertc@waterloo.k12.wi.us" TargetMode="External"/><Relationship Id="rId20" Type="http://schemas.openxmlformats.org/officeDocument/2006/relationships/hyperlink" Target="mailto:strumpl@wrlsweb.org" TargetMode="External"/><Relationship Id="rId41" Type="http://schemas.openxmlformats.org/officeDocument/2006/relationships/hyperlink" Target="mailto:vickiteal@scls.info" TargetMode="External"/><Relationship Id="rId54" Type="http://schemas.openxmlformats.org/officeDocument/2006/relationships/hyperlink" Target="mailto:vickiteal@scls.info" TargetMode="External"/><Relationship Id="rId62" Type="http://schemas.openxmlformats.org/officeDocument/2006/relationships/hyperlink" Target="mailto:sbauer@spencer.k12.wi.us" TargetMode="External"/><Relationship Id="rId70" Type="http://schemas.openxmlformats.org/officeDocument/2006/relationships/hyperlink" Target="mailto:pteschpam@pittsville.k12.wi.us" TargetMode="External"/><Relationship Id="rId75" Type="http://schemas.openxmlformats.org/officeDocument/2006/relationships/hyperlink" Target="mailto:scott@oconto.k12.wi.us" TargetMode="External"/><Relationship Id="rId83" Type="http://schemas.openxmlformats.org/officeDocument/2006/relationships/hyperlink" Target="mailto:bobbi.bruce@flambeauschools.org" TargetMode="External"/><Relationship Id="rId88" Type="http://schemas.openxmlformats.org/officeDocument/2006/relationships/hyperlink" Target="mailto:marym@cesa12.org" TargetMode="External"/><Relationship Id="rId91" Type="http://schemas.openxmlformats.org/officeDocument/2006/relationships/hyperlink" Target="mailto:nbrost@athens1.org" TargetMode="External"/><Relationship Id="rId96" Type="http://schemas.openxmlformats.org/officeDocument/2006/relationships/hyperlink" Target="mailto:sunde@rio.k12.wi.us" TargetMode="External"/><Relationship Id="rId111" Type="http://schemas.openxmlformats.org/officeDocument/2006/relationships/hyperlink" Target="mailto:costelloj@swsd.k12.wi.us" TargetMode="External"/><Relationship Id="rId1" Type="http://schemas.openxmlformats.org/officeDocument/2006/relationships/hyperlink" Target="mailto:almapl@wrlsweb.org" TargetMode="External"/><Relationship Id="rId6" Type="http://schemas.openxmlformats.org/officeDocument/2006/relationships/hyperlink" Target="mailto:elroypl@wrlsweb.org" TargetMode="External"/><Relationship Id="rId15" Type="http://schemas.openxmlformats.org/officeDocument/2006/relationships/hyperlink" Target="mailto:nlploff@wrlsweb.org" TargetMode="External"/><Relationship Id="rId23" Type="http://schemas.openxmlformats.org/officeDocument/2006/relationships/hyperlink" Target="mailto:wonewoc@wrlsweb.org" TargetMode="External"/><Relationship Id="rId28" Type="http://schemas.openxmlformats.org/officeDocument/2006/relationships/hyperlink" Target="mailto:nlynaugh@monarchlibraries.org" TargetMode="External"/><Relationship Id="rId36" Type="http://schemas.openxmlformats.org/officeDocument/2006/relationships/hyperlink" Target="mailto:abahringer@monarchlibraries.org" TargetMode="External"/><Relationship Id="rId49" Type="http://schemas.openxmlformats.org/officeDocument/2006/relationships/hyperlink" Target="mailto:vickiteal@scls.info" TargetMode="External"/><Relationship Id="rId57" Type="http://schemas.openxmlformats.org/officeDocument/2006/relationships/hyperlink" Target="mailto:chawil@blackhawk.k12.wi.us" TargetMode="External"/><Relationship Id="rId106" Type="http://schemas.openxmlformats.org/officeDocument/2006/relationships/hyperlink" Target="mailto:daniel.schmidt@badger.k12.wi.us" TargetMode="External"/><Relationship Id="rId10" Type="http://schemas.openxmlformats.org/officeDocument/2006/relationships/hyperlink" Target="mailto:klibrary@wrlsweb.org" TargetMode="External"/><Relationship Id="rId31" Type="http://schemas.openxmlformats.org/officeDocument/2006/relationships/hyperlink" Target="mailto:edaniels@monarchlibraries.org" TargetMode="External"/><Relationship Id="rId44" Type="http://schemas.openxmlformats.org/officeDocument/2006/relationships/hyperlink" Target="mailto:vickiteal@scls.info" TargetMode="External"/><Relationship Id="rId52" Type="http://schemas.openxmlformats.org/officeDocument/2006/relationships/hyperlink" Target="mailto:vickiteal@scls.info" TargetMode="External"/><Relationship Id="rId60" Type="http://schemas.openxmlformats.org/officeDocument/2006/relationships/hyperlink" Target="mailto:swaldow@luxcasco.k12.wi.us" TargetMode="External"/><Relationship Id="rId65" Type="http://schemas.openxmlformats.org/officeDocument/2006/relationships/hyperlink" Target="mailto:jjackson@siren.k12.wi.us" TargetMode="External"/><Relationship Id="rId73" Type="http://schemas.openxmlformats.org/officeDocument/2006/relationships/hyperlink" Target="mailto:dachel@colfax.k12.wi.us" TargetMode="External"/><Relationship Id="rId78" Type="http://schemas.openxmlformats.org/officeDocument/2006/relationships/hyperlink" Target="mailto:swery@mayville.k12.wi.us" TargetMode="External"/><Relationship Id="rId81" Type="http://schemas.openxmlformats.org/officeDocument/2006/relationships/hyperlink" Target="mailto:lspady@draschools.org" TargetMode="External"/><Relationship Id="rId86" Type="http://schemas.openxmlformats.org/officeDocument/2006/relationships/hyperlink" Target="mailto:paul_fischer@achm.k12.wi.us" TargetMode="External"/><Relationship Id="rId94" Type="http://schemas.openxmlformats.org/officeDocument/2006/relationships/hyperlink" Target="mailto:david.bikowski@albany.k12.wi.us" TargetMode="External"/><Relationship Id="rId99" Type="http://schemas.openxmlformats.org/officeDocument/2006/relationships/hyperlink" Target="mailto:scbauman@gapps.stratford.k12.wi.us" TargetMode="External"/><Relationship Id="rId101" Type="http://schemas.openxmlformats.org/officeDocument/2006/relationships/hyperlink" Target="mailto:katforstner@stockbridge.k12.wi.us" TargetMode="External"/><Relationship Id="rId4" Type="http://schemas.openxmlformats.org/officeDocument/2006/relationships/hyperlink" Target="mailto:cashtonlib@wrlsweb.org" TargetMode="External"/><Relationship Id="rId9" Type="http://schemas.openxmlformats.org/officeDocument/2006/relationships/hyperlink" Target="mailto:hilibrary@wrlsweb.org" TargetMode="External"/><Relationship Id="rId13" Type="http://schemas.openxmlformats.org/officeDocument/2006/relationships/hyperlink" Target="mailto:mondovipl@wrlsweb.org" TargetMode="External"/><Relationship Id="rId18" Type="http://schemas.openxmlformats.org/officeDocument/2006/relationships/hyperlink" Target="mailto:haugeml@triwest.net" TargetMode="External"/><Relationship Id="rId39" Type="http://schemas.openxmlformats.org/officeDocument/2006/relationships/hyperlink" Target="mailto:bvolgren@milltownpubliclibrary.org" TargetMode="External"/><Relationship Id="rId109" Type="http://schemas.openxmlformats.org/officeDocument/2006/relationships/hyperlink" Target="mailto:kpetersen@kickapoo.k12.wi.us" TargetMode="External"/><Relationship Id="rId34" Type="http://schemas.openxmlformats.org/officeDocument/2006/relationships/hyperlink" Target="mailto:dmurphy@monarchlibraries.org" TargetMode="External"/><Relationship Id="rId50" Type="http://schemas.openxmlformats.org/officeDocument/2006/relationships/hyperlink" Target="mailto:vickiteal@scls.info" TargetMode="External"/><Relationship Id="rId55" Type="http://schemas.openxmlformats.org/officeDocument/2006/relationships/hyperlink" Target="mailto:vickiteal@scls.info" TargetMode="External"/><Relationship Id="rId76" Type="http://schemas.openxmlformats.org/officeDocument/2006/relationships/hyperlink" Target="mailto:tbastian@benton.k12.wi.us" TargetMode="External"/><Relationship Id="rId97" Type="http://schemas.openxmlformats.org/officeDocument/2006/relationships/hyperlink" Target="mailto:greshamadmin@gresham.k12.wi.us" TargetMode="External"/><Relationship Id="rId104" Type="http://schemas.openxmlformats.org/officeDocument/2006/relationships/hyperlink" Target="mailto:btucker@highland.k12.wi.us" TargetMode="External"/><Relationship Id="rId7" Type="http://schemas.openxmlformats.org/officeDocument/2006/relationships/hyperlink" Target="mailto:ettrickpl@wrlsweb.org" TargetMode="External"/><Relationship Id="rId71" Type="http://schemas.openxmlformats.org/officeDocument/2006/relationships/hyperlink" Target="mailto:sgengler@csd.k12.wi.us" TargetMode="External"/><Relationship Id="rId92" Type="http://schemas.openxmlformats.org/officeDocument/2006/relationships/hyperlink" Target="mailto:smann@csd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D16E4-820A-416F-90F0-E1A5D1528BCD}">
  <dimension ref="A1:NL117"/>
  <sheetViews>
    <sheetView tabSelected="1" workbookViewId="0">
      <pane ySplit="1" topLeftCell="A2" activePane="bottomLeft" state="frozen"/>
      <selection pane="bottomLeft" activeCell="AB14" sqref="AB14"/>
    </sheetView>
  </sheetViews>
  <sheetFormatPr defaultRowHeight="15" x14ac:dyDescent="0.25"/>
  <cols>
    <col min="1" max="1" width="47.28515625" customWidth="1"/>
    <col min="2" max="2" width="47.28515625" hidden="1" customWidth="1"/>
    <col min="3" max="3" width="12.140625" customWidth="1"/>
    <col min="4" max="4" width="12.7109375" customWidth="1"/>
    <col min="5" max="9" width="12.7109375" hidden="1" customWidth="1"/>
    <col min="10" max="10" width="10" hidden="1" customWidth="1"/>
    <col min="11" max="11" width="9.28515625" style="9" hidden="1" customWidth="1"/>
    <col min="12" max="12" width="9.28515625" hidden="1" customWidth="1"/>
    <col min="13" max="13" width="11" hidden="1" customWidth="1"/>
    <col min="14" max="14" width="10.140625" hidden="1" customWidth="1"/>
    <col min="15" max="15" width="8.28515625" hidden="1" customWidth="1"/>
    <col min="16" max="16" width="9.5703125" style="10" customWidth="1"/>
    <col min="17" max="17" width="11.42578125" style="10" customWidth="1"/>
    <col min="18" max="18" width="9.140625" style="10"/>
    <col min="19" max="19" width="12" style="10" bestFit="1" customWidth="1"/>
    <col min="20" max="20" width="0" style="9" hidden="1" customWidth="1"/>
    <col min="21" max="21" width="26.5703125" hidden="1" customWidth="1"/>
    <col min="22" max="22" width="39.5703125" style="11" hidden="1" customWidth="1"/>
    <col min="23" max="23" width="47.7109375" style="11" hidden="1" customWidth="1"/>
    <col min="24" max="24" width="43.42578125" hidden="1" customWidth="1"/>
    <col min="25" max="251" width="9.140625" style="12"/>
  </cols>
  <sheetData>
    <row r="1" spans="1:376" s="4" customFormat="1" ht="66.75" customHeight="1" x14ac:dyDescent="0.25">
      <c r="A1" s="13" t="s">
        <v>0</v>
      </c>
      <c r="B1" s="13" t="s">
        <v>214</v>
      </c>
      <c r="C1" s="1" t="s">
        <v>447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2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2" t="s">
        <v>450</v>
      </c>
      <c r="Q1" s="2" t="s">
        <v>449</v>
      </c>
      <c r="R1" s="2" t="s">
        <v>448</v>
      </c>
      <c r="S1" s="2" t="s">
        <v>13</v>
      </c>
      <c r="T1" s="2" t="s">
        <v>14</v>
      </c>
      <c r="U1" s="1" t="s">
        <v>15</v>
      </c>
      <c r="V1" s="1" t="s">
        <v>16</v>
      </c>
      <c r="W1" s="1" t="s">
        <v>17</v>
      </c>
      <c r="X1" s="1" t="s">
        <v>18</v>
      </c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</row>
    <row r="2" spans="1:376" s="4" customFormat="1" ht="17.100000000000001" customHeight="1" x14ac:dyDescent="0.25">
      <c r="A2" s="19"/>
      <c r="B2" s="20"/>
      <c r="C2" s="21" t="s">
        <v>451</v>
      </c>
      <c r="D2" s="22"/>
      <c r="E2" s="22"/>
      <c r="F2" s="22"/>
      <c r="G2" s="22"/>
      <c r="H2" s="22"/>
      <c r="I2" s="23"/>
      <c r="J2" s="23"/>
      <c r="K2" s="24"/>
      <c r="L2" s="23"/>
      <c r="M2" s="23"/>
      <c r="N2" s="23"/>
      <c r="O2" s="23"/>
      <c r="P2" s="24"/>
      <c r="Q2" s="24"/>
      <c r="R2" s="24"/>
      <c r="S2" s="24"/>
      <c r="T2" s="2"/>
      <c r="U2" s="1"/>
      <c r="V2" s="1"/>
      <c r="W2" s="1"/>
      <c r="X2" s="1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</row>
    <row r="3" spans="1:376" s="29" customFormat="1" ht="21" customHeight="1" x14ac:dyDescent="0.25">
      <c r="A3" s="32" t="s">
        <v>19</v>
      </c>
      <c r="B3" s="32"/>
      <c r="C3" s="33">
        <v>0.15</v>
      </c>
      <c r="D3" s="34">
        <v>5000</v>
      </c>
      <c r="E3" s="34">
        <v>17488</v>
      </c>
      <c r="F3" s="34">
        <v>20574</v>
      </c>
      <c r="G3" s="34">
        <v>17488</v>
      </c>
      <c r="H3" s="34">
        <v>3086</v>
      </c>
      <c r="I3" s="34">
        <v>6914</v>
      </c>
      <c r="J3" s="34">
        <v>6138</v>
      </c>
      <c r="K3" s="34">
        <f t="shared" ref="K3:K34" si="0">J3*C3</f>
        <v>920.69999999999993</v>
      </c>
      <c r="L3" s="34">
        <v>0</v>
      </c>
      <c r="M3" s="34">
        <f t="shared" ref="M3:M50" si="1">SUM(K3:L3)</f>
        <v>920.69999999999993</v>
      </c>
      <c r="N3" s="34">
        <v>0</v>
      </c>
      <c r="O3" s="34">
        <f>SUM(M3:N3)</f>
        <v>920.69999999999993</v>
      </c>
      <c r="P3" s="35">
        <f>6138*C3</f>
        <v>920.69999999999993</v>
      </c>
      <c r="Q3" s="35">
        <v>0</v>
      </c>
      <c r="R3" s="35">
        <v>0</v>
      </c>
      <c r="S3" s="35">
        <f t="shared" ref="S3:S34" si="2">SUM(P3:R3)</f>
        <v>920.69999999999993</v>
      </c>
      <c r="T3" s="26">
        <f t="shared" ref="T3:T34" si="3">D3-S3</f>
        <v>4079.3</v>
      </c>
      <c r="U3" s="27" t="s">
        <v>20</v>
      </c>
      <c r="V3" s="28" t="s">
        <v>21</v>
      </c>
      <c r="W3" s="27" t="s">
        <v>22</v>
      </c>
      <c r="X3" s="27"/>
      <c r="Y3" s="7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</row>
    <row r="4" spans="1:376" s="5" customFormat="1" ht="17.100000000000001" customHeight="1" x14ac:dyDescent="0.25">
      <c r="A4" s="14" t="s">
        <v>215</v>
      </c>
      <c r="B4" s="15">
        <v>0.59099999999999997</v>
      </c>
      <c r="C4" s="16">
        <v>0.15000000000000002</v>
      </c>
      <c r="D4" s="17">
        <v>43450</v>
      </c>
      <c r="E4" s="17">
        <v>173400</v>
      </c>
      <c r="F4" s="17">
        <v>204000</v>
      </c>
      <c r="G4" s="17">
        <v>173400</v>
      </c>
      <c r="H4" s="17">
        <v>30600.000000000004</v>
      </c>
      <c r="I4" s="17">
        <v>12849.999999999996</v>
      </c>
      <c r="J4" s="17">
        <f>129823+74177</f>
        <v>204000</v>
      </c>
      <c r="K4" s="17">
        <f t="shared" si="0"/>
        <v>30600.000000000004</v>
      </c>
      <c r="L4" s="17">
        <v>12850</v>
      </c>
      <c r="M4" s="17">
        <f t="shared" si="1"/>
        <v>43450</v>
      </c>
      <c r="N4" s="17">
        <v>0</v>
      </c>
      <c r="O4" s="17">
        <f>SUM(M4:N4)</f>
        <v>43450</v>
      </c>
      <c r="P4" s="17">
        <f>(129823+74177)*C4</f>
        <v>30600.000000000004</v>
      </c>
      <c r="Q4" s="17">
        <v>12850</v>
      </c>
      <c r="R4" s="17">
        <v>0</v>
      </c>
      <c r="S4" s="17">
        <f t="shared" si="2"/>
        <v>43450</v>
      </c>
      <c r="T4" s="8">
        <f t="shared" si="3"/>
        <v>0</v>
      </c>
      <c r="U4" s="4" t="s">
        <v>216</v>
      </c>
      <c r="V4" s="18" t="s">
        <v>217</v>
      </c>
      <c r="W4" s="4" t="s">
        <v>218</v>
      </c>
      <c r="X4" s="4"/>
      <c r="Y4" s="3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376" s="29" customFormat="1" ht="21" customHeight="1" x14ac:dyDescent="0.25">
      <c r="A5" s="32" t="s">
        <v>219</v>
      </c>
      <c r="B5" s="32">
        <v>0.38100000000000001</v>
      </c>
      <c r="C5" s="33">
        <v>0.30000000000000004</v>
      </c>
      <c r="D5" s="34">
        <v>12630.3</v>
      </c>
      <c r="E5" s="34">
        <v>420</v>
      </c>
      <c r="F5" s="34">
        <v>600</v>
      </c>
      <c r="G5" s="34">
        <v>420</v>
      </c>
      <c r="H5" s="34">
        <v>180.00000000000003</v>
      </c>
      <c r="I5" s="34">
        <v>12450.3</v>
      </c>
      <c r="J5" s="34">
        <v>600</v>
      </c>
      <c r="K5" s="34">
        <f t="shared" si="0"/>
        <v>180.00000000000003</v>
      </c>
      <c r="L5" s="34">
        <v>1165</v>
      </c>
      <c r="M5" s="34">
        <f t="shared" si="1"/>
        <v>1345</v>
      </c>
      <c r="N5" s="34">
        <v>0</v>
      </c>
      <c r="O5" s="34">
        <f>SUM(M5:N5)</f>
        <v>1345</v>
      </c>
      <c r="P5" s="35">
        <f>600*C5</f>
        <v>180.00000000000003</v>
      </c>
      <c r="Q5" s="35">
        <v>1165</v>
      </c>
      <c r="R5" s="35">
        <v>0</v>
      </c>
      <c r="S5" s="35">
        <f t="shared" si="2"/>
        <v>1345</v>
      </c>
      <c r="T5" s="26">
        <f t="shared" si="3"/>
        <v>11285.3</v>
      </c>
      <c r="U5" s="27" t="s">
        <v>220</v>
      </c>
      <c r="V5" s="28" t="s">
        <v>221</v>
      </c>
      <c r="W5" s="27" t="s">
        <v>222</v>
      </c>
      <c r="X5" s="27"/>
      <c r="Y5" s="7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</row>
    <row r="6" spans="1:376" s="5" customFormat="1" ht="17.100000000000001" customHeight="1" x14ac:dyDescent="0.25">
      <c r="A6" s="14" t="s">
        <v>23</v>
      </c>
      <c r="B6" s="15"/>
      <c r="C6" s="16">
        <v>0.3</v>
      </c>
      <c r="D6" s="17">
        <v>5000</v>
      </c>
      <c r="E6" s="17" t="s">
        <v>24</v>
      </c>
      <c r="F6" s="17" t="s">
        <v>24</v>
      </c>
      <c r="G6" s="17" t="s">
        <v>24</v>
      </c>
      <c r="H6" s="17" t="s">
        <v>24</v>
      </c>
      <c r="I6" s="17" t="s">
        <v>24</v>
      </c>
      <c r="J6" s="17">
        <v>4978</v>
      </c>
      <c r="K6" s="17">
        <f t="shared" si="0"/>
        <v>1493.3999999999999</v>
      </c>
      <c r="L6" s="17">
        <v>0</v>
      </c>
      <c r="M6" s="17">
        <f t="shared" si="1"/>
        <v>1493.3999999999999</v>
      </c>
      <c r="N6" s="17">
        <v>0</v>
      </c>
      <c r="O6" s="17">
        <v>0</v>
      </c>
      <c r="P6" s="17">
        <f>4978*C6</f>
        <v>1493.3999999999999</v>
      </c>
      <c r="Q6" s="17">
        <v>0</v>
      </c>
      <c r="R6" s="17">
        <v>0</v>
      </c>
      <c r="S6" s="17">
        <f t="shared" si="2"/>
        <v>1493.3999999999999</v>
      </c>
      <c r="T6" s="8">
        <f t="shared" si="3"/>
        <v>3506.6000000000004</v>
      </c>
      <c r="U6" s="4" t="s">
        <v>20</v>
      </c>
      <c r="V6" s="18" t="s">
        <v>21</v>
      </c>
      <c r="W6" s="4" t="s">
        <v>25</v>
      </c>
      <c r="X6" s="4"/>
      <c r="Y6" s="3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76" s="29" customFormat="1" ht="21" customHeight="1" x14ac:dyDescent="0.25">
      <c r="A7" s="32" t="s">
        <v>223</v>
      </c>
      <c r="B7" s="32">
        <v>0.53</v>
      </c>
      <c r="C7" s="33">
        <v>0.19999999999999996</v>
      </c>
      <c r="D7" s="34">
        <v>13570.000000000004</v>
      </c>
      <c r="E7" s="34">
        <v>11200</v>
      </c>
      <c r="F7" s="34">
        <v>14000</v>
      </c>
      <c r="G7" s="34">
        <v>11200</v>
      </c>
      <c r="H7" s="34">
        <v>2799.9999999999995</v>
      </c>
      <c r="I7" s="34">
        <v>10770.000000000004</v>
      </c>
      <c r="J7" s="34">
        <v>4000</v>
      </c>
      <c r="K7" s="34">
        <f t="shared" si="0"/>
        <v>799.99999999999977</v>
      </c>
      <c r="L7" s="34">
        <v>0</v>
      </c>
      <c r="M7" s="34">
        <f t="shared" si="1"/>
        <v>799.99999999999977</v>
      </c>
      <c r="N7" s="34">
        <v>0</v>
      </c>
      <c r="O7" s="34">
        <f t="shared" ref="O7:O50" si="4">SUM(M7:N7)</f>
        <v>799.99999999999977</v>
      </c>
      <c r="P7" s="35">
        <f>4000*C7</f>
        <v>799.99999999999977</v>
      </c>
      <c r="Q7" s="35">
        <v>0</v>
      </c>
      <c r="R7" s="35">
        <v>0</v>
      </c>
      <c r="S7" s="35">
        <f t="shared" si="2"/>
        <v>799.99999999999977</v>
      </c>
      <c r="T7" s="26">
        <f t="shared" si="3"/>
        <v>12770.000000000004</v>
      </c>
      <c r="U7" s="27" t="s">
        <v>224</v>
      </c>
      <c r="V7" s="28" t="s">
        <v>225</v>
      </c>
      <c r="W7" s="27" t="s">
        <v>226</v>
      </c>
      <c r="X7" s="27" t="s">
        <v>227</v>
      </c>
      <c r="Y7" s="7" t="s">
        <v>446</v>
      </c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</row>
    <row r="8" spans="1:376" s="5" customFormat="1" ht="17.100000000000001" customHeight="1" x14ac:dyDescent="0.25">
      <c r="A8" s="14" t="s">
        <v>26</v>
      </c>
      <c r="B8" s="15"/>
      <c r="C8" s="16">
        <v>0.4</v>
      </c>
      <c r="D8" s="17">
        <v>9338</v>
      </c>
      <c r="E8" s="17">
        <v>9582</v>
      </c>
      <c r="F8" s="17">
        <v>15970</v>
      </c>
      <c r="G8" s="17">
        <f>F8*0.6</f>
        <v>9582</v>
      </c>
      <c r="H8" s="17">
        <f>F8*C8</f>
        <v>6388</v>
      </c>
      <c r="I8" s="17">
        <v>0</v>
      </c>
      <c r="J8" s="17">
        <v>108</v>
      </c>
      <c r="K8" s="17">
        <f t="shared" si="0"/>
        <v>43.2</v>
      </c>
      <c r="L8" s="17">
        <v>0</v>
      </c>
      <c r="M8" s="17">
        <f t="shared" si="1"/>
        <v>43.2</v>
      </c>
      <c r="N8" s="17">
        <v>0</v>
      </c>
      <c r="O8" s="17">
        <f t="shared" si="4"/>
        <v>43.2</v>
      </c>
      <c r="P8" s="17">
        <f>108*C8</f>
        <v>43.2</v>
      </c>
      <c r="Q8" s="17">
        <v>0</v>
      </c>
      <c r="R8" s="17">
        <v>0</v>
      </c>
      <c r="S8" s="17">
        <f t="shared" si="2"/>
        <v>43.2</v>
      </c>
      <c r="T8" s="8">
        <f t="shared" si="3"/>
        <v>9294.7999999999993</v>
      </c>
      <c r="U8" s="4" t="s">
        <v>27</v>
      </c>
      <c r="V8" s="18" t="s">
        <v>28</v>
      </c>
      <c r="W8" s="4" t="s">
        <v>29</v>
      </c>
      <c r="X8" s="4"/>
      <c r="Y8" s="3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</row>
    <row r="9" spans="1:376" s="29" customFormat="1" ht="21" customHeight="1" x14ac:dyDescent="0.25">
      <c r="A9" s="32" t="s">
        <v>30</v>
      </c>
      <c r="B9" s="32"/>
      <c r="C9" s="33">
        <v>0.2</v>
      </c>
      <c r="D9" s="34">
        <v>5000</v>
      </c>
      <c r="E9" s="34">
        <v>9582</v>
      </c>
      <c r="F9" s="34">
        <v>11978</v>
      </c>
      <c r="G9" s="34">
        <v>9582</v>
      </c>
      <c r="H9" s="34">
        <v>2396</v>
      </c>
      <c r="I9" s="34">
        <v>2604</v>
      </c>
      <c r="J9" s="34">
        <v>3684</v>
      </c>
      <c r="K9" s="34">
        <f t="shared" si="0"/>
        <v>736.80000000000007</v>
      </c>
      <c r="L9" s="34">
        <v>0</v>
      </c>
      <c r="M9" s="34">
        <f t="shared" si="1"/>
        <v>736.80000000000007</v>
      </c>
      <c r="N9" s="34">
        <v>0</v>
      </c>
      <c r="O9" s="34">
        <f t="shared" si="4"/>
        <v>736.80000000000007</v>
      </c>
      <c r="P9" s="35">
        <f>3684*C9</f>
        <v>736.80000000000007</v>
      </c>
      <c r="Q9" s="35">
        <v>0</v>
      </c>
      <c r="R9" s="35">
        <v>0</v>
      </c>
      <c r="S9" s="35">
        <f t="shared" si="2"/>
        <v>736.80000000000007</v>
      </c>
      <c r="T9" s="26">
        <f t="shared" si="3"/>
        <v>4263.2</v>
      </c>
      <c r="U9" s="27" t="s">
        <v>20</v>
      </c>
      <c r="V9" s="28" t="s">
        <v>21</v>
      </c>
      <c r="W9" s="27" t="s">
        <v>31</v>
      </c>
      <c r="X9" s="27"/>
      <c r="Y9" s="7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</row>
    <row r="10" spans="1:376" s="5" customFormat="1" ht="17.100000000000001" customHeight="1" x14ac:dyDescent="0.25">
      <c r="A10" s="14" t="s">
        <v>32</v>
      </c>
      <c r="B10" s="15"/>
      <c r="C10" s="16">
        <v>0.30000000000000004</v>
      </c>
      <c r="D10" s="17">
        <v>7500</v>
      </c>
      <c r="E10" s="17">
        <v>9582.23</v>
      </c>
      <c r="F10" s="17">
        <v>13688.9</v>
      </c>
      <c r="G10" s="17">
        <v>9582.23</v>
      </c>
      <c r="H10" s="17">
        <v>4106.67</v>
      </c>
      <c r="I10" s="17">
        <v>3393.33</v>
      </c>
      <c r="J10" s="17">
        <v>3594</v>
      </c>
      <c r="K10" s="17">
        <f t="shared" si="0"/>
        <v>1078.2000000000003</v>
      </c>
      <c r="L10" s="17">
        <v>0</v>
      </c>
      <c r="M10" s="17">
        <f t="shared" si="1"/>
        <v>1078.2000000000003</v>
      </c>
      <c r="N10" s="17">
        <v>0</v>
      </c>
      <c r="O10" s="17">
        <f t="shared" si="4"/>
        <v>1078.2000000000003</v>
      </c>
      <c r="P10" s="17">
        <f>3594*C10</f>
        <v>1078.2000000000003</v>
      </c>
      <c r="Q10" s="17">
        <v>0</v>
      </c>
      <c r="R10" s="17">
        <v>0</v>
      </c>
      <c r="S10" s="17">
        <f t="shared" si="2"/>
        <v>1078.2000000000003</v>
      </c>
      <c r="T10" s="8">
        <f t="shared" si="3"/>
        <v>6421.7999999999993</v>
      </c>
      <c r="U10" s="4" t="s">
        <v>20</v>
      </c>
      <c r="V10" s="18" t="s">
        <v>21</v>
      </c>
      <c r="W10" s="4" t="s">
        <v>33</v>
      </c>
      <c r="X10" s="4"/>
      <c r="Y10" s="3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</row>
    <row r="11" spans="1:376" s="29" customFormat="1" ht="21" customHeight="1" x14ac:dyDescent="0.25">
      <c r="A11" s="32" t="s">
        <v>228</v>
      </c>
      <c r="B11" s="32">
        <v>0.3</v>
      </c>
      <c r="C11" s="33">
        <v>0.4</v>
      </c>
      <c r="D11" s="34">
        <v>2452.7999999999993</v>
      </c>
      <c r="E11" s="34">
        <v>3000</v>
      </c>
      <c r="F11" s="34">
        <v>5000</v>
      </c>
      <c r="G11" s="34">
        <v>3000</v>
      </c>
      <c r="H11" s="34">
        <v>2000</v>
      </c>
      <c r="I11" s="34">
        <v>452.79999999999927</v>
      </c>
      <c r="J11" s="34">
        <v>5000</v>
      </c>
      <c r="K11" s="34">
        <f t="shared" si="0"/>
        <v>2000</v>
      </c>
      <c r="L11" s="34">
        <v>452</v>
      </c>
      <c r="M11" s="34">
        <f t="shared" si="1"/>
        <v>2452</v>
      </c>
      <c r="N11" s="34">
        <v>0</v>
      </c>
      <c r="O11" s="34">
        <f t="shared" si="4"/>
        <v>2452</v>
      </c>
      <c r="P11" s="35">
        <f>5000*C11</f>
        <v>2000</v>
      </c>
      <c r="Q11" s="35">
        <v>452</v>
      </c>
      <c r="R11" s="35">
        <v>0</v>
      </c>
      <c r="S11" s="35">
        <f t="shared" si="2"/>
        <v>2452</v>
      </c>
      <c r="T11" s="26">
        <f t="shared" si="3"/>
        <v>0.7999999999992724</v>
      </c>
      <c r="U11" s="27" t="s">
        <v>229</v>
      </c>
      <c r="V11" s="28" t="s">
        <v>230</v>
      </c>
      <c r="W11" s="27" t="s">
        <v>231</v>
      </c>
      <c r="X11" s="27"/>
      <c r="Y11" s="7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</row>
    <row r="12" spans="1:376" s="5" customFormat="1" ht="17.100000000000001" customHeight="1" x14ac:dyDescent="0.25">
      <c r="A12" s="14" t="s">
        <v>232</v>
      </c>
      <c r="B12" s="15">
        <v>0.52</v>
      </c>
      <c r="C12" s="16">
        <v>0.19999999999999996</v>
      </c>
      <c r="D12" s="17">
        <v>27826.400000000005</v>
      </c>
      <c r="E12" s="17">
        <v>16800</v>
      </c>
      <c r="F12" s="17">
        <v>21000</v>
      </c>
      <c r="G12" s="17">
        <v>16800</v>
      </c>
      <c r="H12" s="17">
        <v>4199.9999999999991</v>
      </c>
      <c r="I12" s="17">
        <v>23626.400000000005</v>
      </c>
      <c r="J12" s="17">
        <v>21000</v>
      </c>
      <c r="K12" s="17">
        <f t="shared" si="0"/>
        <v>4199.9999999999991</v>
      </c>
      <c r="L12" s="17">
        <v>23626</v>
      </c>
      <c r="M12" s="17">
        <f t="shared" si="1"/>
        <v>27826</v>
      </c>
      <c r="N12" s="17">
        <v>0</v>
      </c>
      <c r="O12" s="17">
        <f t="shared" si="4"/>
        <v>27826</v>
      </c>
      <c r="P12" s="17">
        <f>21000*C12</f>
        <v>4199.9999999999991</v>
      </c>
      <c r="Q12" s="17">
        <f>27826-4200</f>
        <v>23626</v>
      </c>
      <c r="R12" s="17">
        <v>0</v>
      </c>
      <c r="S12" s="17">
        <f t="shared" si="2"/>
        <v>27826</v>
      </c>
      <c r="T12" s="8">
        <f t="shared" si="3"/>
        <v>0.40000000000509317</v>
      </c>
      <c r="U12" s="4" t="s">
        <v>233</v>
      </c>
      <c r="V12" s="18" t="s">
        <v>234</v>
      </c>
      <c r="W12" s="4" t="s">
        <v>235</v>
      </c>
      <c r="X12" s="4"/>
      <c r="Y12" s="3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</row>
    <row r="13" spans="1:376" s="29" customFormat="1" ht="21" customHeight="1" x14ac:dyDescent="0.25">
      <c r="A13" s="32" t="s">
        <v>236</v>
      </c>
      <c r="B13" s="32">
        <v>0.57499999999999996</v>
      </c>
      <c r="C13" s="33">
        <v>0.15000000000000002</v>
      </c>
      <c r="D13" s="34">
        <v>30000</v>
      </c>
      <c r="E13" s="34">
        <v>45900</v>
      </c>
      <c r="F13" s="34">
        <v>54000</v>
      </c>
      <c r="G13" s="34">
        <v>45900</v>
      </c>
      <c r="H13" s="34">
        <v>8100.0000000000009</v>
      </c>
      <c r="I13" s="34">
        <v>21900</v>
      </c>
      <c r="J13" s="34">
        <f>38900</f>
        <v>38900</v>
      </c>
      <c r="K13" s="34">
        <f t="shared" si="0"/>
        <v>5835.0000000000009</v>
      </c>
      <c r="L13" s="34">
        <v>0</v>
      </c>
      <c r="M13" s="34">
        <f t="shared" si="1"/>
        <v>5835.0000000000009</v>
      </c>
      <c r="N13" s="34">
        <v>0</v>
      </c>
      <c r="O13" s="34">
        <f t="shared" si="4"/>
        <v>5835.0000000000009</v>
      </c>
      <c r="P13" s="35">
        <f>38900*C13</f>
        <v>5835.0000000000009</v>
      </c>
      <c r="Q13" s="35">
        <v>0</v>
      </c>
      <c r="R13" s="35">
        <v>0</v>
      </c>
      <c r="S13" s="35">
        <f t="shared" si="2"/>
        <v>5835.0000000000009</v>
      </c>
      <c r="T13" s="26">
        <f t="shared" si="3"/>
        <v>24165</v>
      </c>
      <c r="U13" s="27" t="s">
        <v>237</v>
      </c>
      <c r="V13" s="28" t="s">
        <v>238</v>
      </c>
      <c r="W13" s="27" t="s">
        <v>239</v>
      </c>
      <c r="X13" s="27"/>
      <c r="Y13" s="7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</row>
    <row r="14" spans="1:376" s="5" customFormat="1" ht="17.100000000000001" customHeight="1" x14ac:dyDescent="0.25">
      <c r="A14" s="14" t="s">
        <v>34</v>
      </c>
      <c r="B14" s="15"/>
      <c r="C14" s="16">
        <v>0.4</v>
      </c>
      <c r="D14" s="17">
        <v>9152</v>
      </c>
      <c r="E14" s="17">
        <v>11958.62</v>
      </c>
      <c r="F14" s="17">
        <v>19931.033333333336</v>
      </c>
      <c r="G14" s="17">
        <v>11958.62</v>
      </c>
      <c r="H14" s="17">
        <v>7972.4133333333348</v>
      </c>
      <c r="I14" s="17">
        <v>1179.5866666666652</v>
      </c>
      <c r="J14" s="17">
        <v>469</v>
      </c>
      <c r="K14" s="17">
        <f t="shared" si="0"/>
        <v>187.60000000000002</v>
      </c>
      <c r="L14" s="17">
        <v>0</v>
      </c>
      <c r="M14" s="17">
        <f t="shared" si="1"/>
        <v>187.60000000000002</v>
      </c>
      <c r="N14" s="17">
        <v>0</v>
      </c>
      <c r="O14" s="17">
        <f t="shared" si="4"/>
        <v>187.60000000000002</v>
      </c>
      <c r="P14" s="17">
        <f>469*C14</f>
        <v>187.60000000000002</v>
      </c>
      <c r="Q14" s="17">
        <v>0</v>
      </c>
      <c r="R14" s="17">
        <v>0</v>
      </c>
      <c r="S14" s="17">
        <f t="shared" si="2"/>
        <v>187.60000000000002</v>
      </c>
      <c r="T14" s="8">
        <f t="shared" si="3"/>
        <v>8964.4</v>
      </c>
      <c r="U14" s="4" t="s">
        <v>35</v>
      </c>
      <c r="V14" s="18" t="s">
        <v>36</v>
      </c>
      <c r="W14" s="4" t="s">
        <v>37</v>
      </c>
      <c r="X14" s="4"/>
      <c r="Y14" s="3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</row>
    <row r="15" spans="1:376" s="29" customFormat="1" ht="21" customHeight="1" x14ac:dyDescent="0.25">
      <c r="A15" s="32" t="s">
        <v>38</v>
      </c>
      <c r="B15" s="32"/>
      <c r="C15" s="33">
        <v>0.4</v>
      </c>
      <c r="D15" s="34">
        <v>7500</v>
      </c>
      <c r="E15" s="34">
        <v>11019.56</v>
      </c>
      <c r="F15" s="34">
        <v>18365.933333333334</v>
      </c>
      <c r="G15" s="34">
        <v>11019.56</v>
      </c>
      <c r="H15" s="34">
        <v>7346.3733333333339</v>
      </c>
      <c r="I15" s="34">
        <v>153.6266666666661</v>
      </c>
      <c r="J15" s="34">
        <v>18207</v>
      </c>
      <c r="K15" s="34">
        <f t="shared" si="0"/>
        <v>7282.8</v>
      </c>
      <c r="L15" s="34">
        <v>0</v>
      </c>
      <c r="M15" s="34">
        <f t="shared" si="1"/>
        <v>7282.8</v>
      </c>
      <c r="N15" s="34">
        <v>0</v>
      </c>
      <c r="O15" s="34">
        <f t="shared" si="4"/>
        <v>7282.8</v>
      </c>
      <c r="P15" s="35">
        <f>18207*C15</f>
        <v>7282.8</v>
      </c>
      <c r="Q15" s="35">
        <v>0</v>
      </c>
      <c r="R15" s="35">
        <v>0</v>
      </c>
      <c r="S15" s="35">
        <f t="shared" si="2"/>
        <v>7282.8</v>
      </c>
      <c r="T15" s="26">
        <f t="shared" si="3"/>
        <v>217.19999999999982</v>
      </c>
      <c r="U15" s="27" t="s">
        <v>20</v>
      </c>
      <c r="V15" s="28" t="s">
        <v>21</v>
      </c>
      <c r="W15" s="27" t="s">
        <v>39</v>
      </c>
      <c r="X15" s="27"/>
      <c r="Y15" s="7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</row>
    <row r="16" spans="1:376" s="5" customFormat="1" ht="17.100000000000001" customHeight="1" x14ac:dyDescent="0.25">
      <c r="A16" s="14" t="s">
        <v>240</v>
      </c>
      <c r="B16" s="15">
        <v>0.22700000000000001</v>
      </c>
      <c r="C16" s="16">
        <v>0.4</v>
      </c>
      <c r="D16" s="17">
        <v>24419.200000000001</v>
      </c>
      <c r="E16" s="17">
        <v>7800</v>
      </c>
      <c r="F16" s="17">
        <v>13000</v>
      </c>
      <c r="G16" s="17">
        <v>7800</v>
      </c>
      <c r="H16" s="17">
        <v>5200</v>
      </c>
      <c r="I16" s="17">
        <v>19219.2</v>
      </c>
      <c r="J16" s="17">
        <v>13000</v>
      </c>
      <c r="K16" s="17">
        <f t="shared" si="0"/>
        <v>5200</v>
      </c>
      <c r="L16" s="17">
        <f>13066+66</f>
        <v>13132</v>
      </c>
      <c r="M16" s="17">
        <f t="shared" si="1"/>
        <v>18332</v>
      </c>
      <c r="N16" s="17">
        <v>0</v>
      </c>
      <c r="O16" s="17">
        <f t="shared" si="4"/>
        <v>18332</v>
      </c>
      <c r="P16" s="17">
        <f>13000*C16</f>
        <v>5200</v>
      </c>
      <c r="Q16" s="17">
        <f>66+13066</f>
        <v>13132</v>
      </c>
      <c r="R16" s="17">
        <v>0</v>
      </c>
      <c r="S16" s="17">
        <f t="shared" si="2"/>
        <v>18332</v>
      </c>
      <c r="T16" s="8">
        <f t="shared" si="3"/>
        <v>6087.2000000000007</v>
      </c>
      <c r="U16" s="4" t="s">
        <v>241</v>
      </c>
      <c r="V16" s="18" t="s">
        <v>242</v>
      </c>
      <c r="W16" s="4" t="s">
        <v>243</v>
      </c>
      <c r="X16" s="4"/>
      <c r="Y16" s="3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</row>
    <row r="17" spans="1:251" s="29" customFormat="1" ht="21" customHeight="1" x14ac:dyDescent="0.25">
      <c r="A17" s="32" t="s">
        <v>244</v>
      </c>
      <c r="B17" s="32">
        <v>0.36799999999999999</v>
      </c>
      <c r="C17" s="33">
        <v>0.30000000000000004</v>
      </c>
      <c r="D17" s="34">
        <v>11992.199999999997</v>
      </c>
      <c r="E17" s="34">
        <v>0</v>
      </c>
      <c r="F17" s="34">
        <v>0</v>
      </c>
      <c r="G17" s="34">
        <v>0</v>
      </c>
      <c r="H17" s="34">
        <v>0</v>
      </c>
      <c r="I17" s="34">
        <v>11992.199999999997</v>
      </c>
      <c r="J17" s="34">
        <v>0</v>
      </c>
      <c r="K17" s="34">
        <f t="shared" si="0"/>
        <v>0</v>
      </c>
      <c r="L17" s="34">
        <v>11992</v>
      </c>
      <c r="M17" s="34">
        <f t="shared" si="1"/>
        <v>11992</v>
      </c>
      <c r="N17" s="34">
        <v>0</v>
      </c>
      <c r="O17" s="34">
        <f t="shared" si="4"/>
        <v>11992</v>
      </c>
      <c r="P17" s="35">
        <v>0</v>
      </c>
      <c r="Q17" s="35">
        <v>11992</v>
      </c>
      <c r="R17" s="35">
        <v>0</v>
      </c>
      <c r="S17" s="35">
        <f t="shared" si="2"/>
        <v>11992</v>
      </c>
      <c r="T17" s="26">
        <f t="shared" si="3"/>
        <v>0.19999999999708962</v>
      </c>
      <c r="U17" s="27" t="s">
        <v>245</v>
      </c>
      <c r="V17" s="28" t="s">
        <v>246</v>
      </c>
      <c r="W17" s="27" t="s">
        <v>247</v>
      </c>
      <c r="X17" s="27"/>
      <c r="Y17" s="7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</row>
    <row r="18" spans="1:251" s="5" customFormat="1" ht="17.100000000000001" customHeight="1" x14ac:dyDescent="0.25">
      <c r="A18" s="14" t="s">
        <v>40</v>
      </c>
      <c r="B18" s="15"/>
      <c r="C18" s="16">
        <v>0.30000000000000004</v>
      </c>
      <c r="D18" s="17">
        <v>7198</v>
      </c>
      <c r="E18" s="17">
        <v>9582.23</v>
      </c>
      <c r="F18" s="17">
        <v>13688.9</v>
      </c>
      <c r="G18" s="17">
        <v>9582.23</v>
      </c>
      <c r="H18" s="17">
        <v>4106.67</v>
      </c>
      <c r="I18" s="17">
        <v>3091.33</v>
      </c>
      <c r="J18" s="17">
        <v>817</v>
      </c>
      <c r="K18" s="17">
        <f t="shared" si="0"/>
        <v>245.10000000000002</v>
      </c>
      <c r="L18" s="17">
        <v>0</v>
      </c>
      <c r="M18" s="17">
        <f t="shared" si="1"/>
        <v>245.10000000000002</v>
      </c>
      <c r="N18" s="17">
        <v>0</v>
      </c>
      <c r="O18" s="17">
        <f t="shared" si="4"/>
        <v>245.10000000000002</v>
      </c>
      <c r="P18" s="17">
        <f>817*C18</f>
        <v>245.10000000000002</v>
      </c>
      <c r="Q18" s="17">
        <v>0</v>
      </c>
      <c r="R18" s="17">
        <v>0</v>
      </c>
      <c r="S18" s="17">
        <f t="shared" si="2"/>
        <v>245.10000000000002</v>
      </c>
      <c r="T18" s="8">
        <f t="shared" si="3"/>
        <v>6952.9</v>
      </c>
      <c r="U18" s="4" t="s">
        <v>41</v>
      </c>
      <c r="V18" s="18" t="s">
        <v>42</v>
      </c>
      <c r="W18" s="4" t="s">
        <v>43</v>
      </c>
      <c r="X18" s="4"/>
      <c r="Y18" s="3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</row>
    <row r="19" spans="1:251" s="29" customFormat="1" ht="21" customHeight="1" x14ac:dyDescent="0.25">
      <c r="A19" s="32" t="s">
        <v>44</v>
      </c>
      <c r="B19" s="32"/>
      <c r="C19" s="33">
        <v>0.4</v>
      </c>
      <c r="D19" s="34">
        <v>7500</v>
      </c>
      <c r="E19" s="34">
        <v>9582.23</v>
      </c>
      <c r="F19" s="34">
        <v>15970.383333333333</v>
      </c>
      <c r="G19" s="34">
        <v>9582.23</v>
      </c>
      <c r="H19" s="34">
        <v>6388.1533333333336</v>
      </c>
      <c r="I19" s="34">
        <v>1111.8466666666664</v>
      </c>
      <c r="J19" s="34">
        <v>1552</v>
      </c>
      <c r="K19" s="34">
        <f t="shared" si="0"/>
        <v>620.80000000000007</v>
      </c>
      <c r="L19" s="34">
        <v>0</v>
      </c>
      <c r="M19" s="34">
        <f t="shared" si="1"/>
        <v>620.80000000000007</v>
      </c>
      <c r="N19" s="34">
        <v>0</v>
      </c>
      <c r="O19" s="34">
        <f t="shared" si="4"/>
        <v>620.80000000000007</v>
      </c>
      <c r="P19" s="35">
        <f>1552*C19</f>
        <v>620.80000000000007</v>
      </c>
      <c r="Q19" s="35">
        <v>0</v>
      </c>
      <c r="R19" s="35">
        <v>0</v>
      </c>
      <c r="S19" s="35">
        <f t="shared" si="2"/>
        <v>620.80000000000007</v>
      </c>
      <c r="T19" s="26">
        <f t="shared" si="3"/>
        <v>6879.2</v>
      </c>
      <c r="U19" s="27" t="s">
        <v>45</v>
      </c>
      <c r="V19" s="28" t="s">
        <v>46</v>
      </c>
      <c r="W19" s="27" t="s">
        <v>47</v>
      </c>
      <c r="X19" s="27"/>
      <c r="Y19" s="7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</row>
    <row r="20" spans="1:251" s="5" customFormat="1" ht="17.100000000000001" customHeight="1" x14ac:dyDescent="0.25">
      <c r="A20" s="14" t="s">
        <v>248</v>
      </c>
      <c r="B20" s="15">
        <v>0.41099999999999998</v>
      </c>
      <c r="C20" s="16">
        <v>0.30000000000000004</v>
      </c>
      <c r="D20" s="17">
        <v>600</v>
      </c>
      <c r="E20" s="17">
        <v>0</v>
      </c>
      <c r="F20" s="17">
        <v>0</v>
      </c>
      <c r="G20" s="17">
        <v>0</v>
      </c>
      <c r="H20" s="17">
        <v>0</v>
      </c>
      <c r="I20" s="17">
        <v>600</v>
      </c>
      <c r="J20" s="17">
        <v>0</v>
      </c>
      <c r="K20" s="17">
        <f t="shared" si="0"/>
        <v>0</v>
      </c>
      <c r="L20" s="17">
        <v>600</v>
      </c>
      <c r="M20" s="17">
        <f t="shared" si="1"/>
        <v>600</v>
      </c>
      <c r="N20" s="17">
        <v>0</v>
      </c>
      <c r="O20" s="17">
        <f t="shared" si="4"/>
        <v>600</v>
      </c>
      <c r="P20" s="17">
        <v>0</v>
      </c>
      <c r="Q20" s="17">
        <v>600</v>
      </c>
      <c r="R20" s="17">
        <v>0</v>
      </c>
      <c r="S20" s="17">
        <f t="shared" si="2"/>
        <v>600</v>
      </c>
      <c r="T20" s="8">
        <f t="shared" si="3"/>
        <v>0</v>
      </c>
      <c r="U20" s="4" t="s">
        <v>249</v>
      </c>
      <c r="V20" s="18" t="s">
        <v>250</v>
      </c>
      <c r="W20" s="4" t="s">
        <v>251</v>
      </c>
      <c r="X20" s="4"/>
      <c r="Y20" s="3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</row>
    <row r="21" spans="1:251" s="29" customFormat="1" ht="21" customHeight="1" x14ac:dyDescent="0.25">
      <c r="A21" s="32" t="s">
        <v>252</v>
      </c>
      <c r="B21" s="32">
        <v>0.21299999999999999</v>
      </c>
      <c r="C21" s="33">
        <v>0.4</v>
      </c>
      <c r="D21" s="34">
        <v>800</v>
      </c>
      <c r="E21" s="34">
        <v>60600</v>
      </c>
      <c r="F21" s="34">
        <v>2000</v>
      </c>
      <c r="G21" s="34">
        <v>1200</v>
      </c>
      <c r="H21" s="34">
        <v>800</v>
      </c>
      <c r="I21" s="34">
        <v>0</v>
      </c>
      <c r="J21" s="34">
        <v>2000</v>
      </c>
      <c r="K21" s="34">
        <f t="shared" si="0"/>
        <v>800</v>
      </c>
      <c r="L21" s="34">
        <v>0</v>
      </c>
      <c r="M21" s="34">
        <f t="shared" si="1"/>
        <v>800</v>
      </c>
      <c r="N21" s="34">
        <v>0</v>
      </c>
      <c r="O21" s="34">
        <f t="shared" si="4"/>
        <v>800</v>
      </c>
      <c r="P21" s="35">
        <f>2000*C21</f>
        <v>800</v>
      </c>
      <c r="Q21" s="35">
        <v>0</v>
      </c>
      <c r="R21" s="35">
        <v>0</v>
      </c>
      <c r="S21" s="35">
        <f t="shared" si="2"/>
        <v>800</v>
      </c>
      <c r="T21" s="26">
        <f t="shared" si="3"/>
        <v>0</v>
      </c>
      <c r="U21" s="27" t="s">
        <v>253</v>
      </c>
      <c r="V21" s="28" t="s">
        <v>254</v>
      </c>
      <c r="W21" s="27" t="s">
        <v>255</v>
      </c>
      <c r="X21" s="27"/>
      <c r="Y21" s="7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</row>
    <row r="22" spans="1:251" s="5" customFormat="1" ht="17.100000000000001" customHeight="1" x14ac:dyDescent="0.25">
      <c r="A22" s="14" t="s">
        <v>256</v>
      </c>
      <c r="B22" s="15">
        <v>0.314</v>
      </c>
      <c r="C22" s="16">
        <v>0.4</v>
      </c>
      <c r="D22" s="17">
        <v>20940</v>
      </c>
      <c r="E22" s="17">
        <v>0</v>
      </c>
      <c r="F22" s="17">
        <v>0</v>
      </c>
      <c r="G22" s="17">
        <v>0</v>
      </c>
      <c r="H22" s="17">
        <v>0</v>
      </c>
      <c r="I22" s="17">
        <v>20940</v>
      </c>
      <c r="J22" s="17">
        <v>0</v>
      </c>
      <c r="K22" s="17">
        <f t="shared" si="0"/>
        <v>0</v>
      </c>
      <c r="L22" s="17">
        <v>8700</v>
      </c>
      <c r="M22" s="17">
        <f t="shared" si="1"/>
        <v>8700</v>
      </c>
      <c r="N22" s="17">
        <v>0</v>
      </c>
      <c r="O22" s="17">
        <f t="shared" si="4"/>
        <v>8700</v>
      </c>
      <c r="P22" s="17">
        <v>0</v>
      </c>
      <c r="Q22" s="17">
        <v>8700</v>
      </c>
      <c r="R22" s="17">
        <v>0</v>
      </c>
      <c r="S22" s="17">
        <f t="shared" si="2"/>
        <v>8700</v>
      </c>
      <c r="T22" s="8">
        <f t="shared" si="3"/>
        <v>12240</v>
      </c>
      <c r="U22" s="4" t="s">
        <v>257</v>
      </c>
      <c r="V22" s="18" t="s">
        <v>258</v>
      </c>
      <c r="W22" s="4" t="s">
        <v>259</v>
      </c>
      <c r="X22" s="4"/>
      <c r="Y22" s="3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</row>
    <row r="23" spans="1:251" s="29" customFormat="1" ht="21" customHeight="1" x14ac:dyDescent="0.25">
      <c r="A23" s="32" t="s">
        <v>260</v>
      </c>
      <c r="B23" s="32">
        <v>0.19400000000000001</v>
      </c>
      <c r="C23" s="33">
        <v>0.4</v>
      </c>
      <c r="D23" s="34">
        <v>32016.799999999999</v>
      </c>
      <c r="E23" s="34">
        <v>15000</v>
      </c>
      <c r="F23" s="34">
        <v>25000</v>
      </c>
      <c r="G23" s="34">
        <v>15000</v>
      </c>
      <c r="H23" s="34">
        <v>10000</v>
      </c>
      <c r="I23" s="34">
        <v>22016.799999999999</v>
      </c>
      <c r="J23" s="34">
        <v>12190</v>
      </c>
      <c r="K23" s="34">
        <f t="shared" si="0"/>
        <v>4876</v>
      </c>
      <c r="L23" s="34">
        <v>0</v>
      </c>
      <c r="M23" s="34">
        <f t="shared" si="1"/>
        <v>4876</v>
      </c>
      <c r="N23" s="34">
        <v>6000</v>
      </c>
      <c r="O23" s="34">
        <f t="shared" si="4"/>
        <v>10876</v>
      </c>
      <c r="P23" s="35">
        <f>12190*C23</f>
        <v>4876</v>
      </c>
      <c r="Q23" s="35">
        <v>0</v>
      </c>
      <c r="R23" s="35">
        <v>6000</v>
      </c>
      <c r="S23" s="35">
        <f t="shared" si="2"/>
        <v>10876</v>
      </c>
      <c r="T23" s="26">
        <f t="shared" si="3"/>
        <v>21140.799999999999</v>
      </c>
      <c r="U23" s="27" t="s">
        <v>261</v>
      </c>
      <c r="V23" s="28" t="s">
        <v>262</v>
      </c>
      <c r="W23" s="27" t="s">
        <v>263</v>
      </c>
      <c r="X23" s="27"/>
      <c r="Y23" s="7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</row>
    <row r="24" spans="1:251" s="5" customFormat="1" ht="17.100000000000001" customHeight="1" x14ac:dyDescent="0.25">
      <c r="A24" s="14" t="s">
        <v>48</v>
      </c>
      <c r="B24" s="15"/>
      <c r="C24" s="16">
        <v>0.30000000000000004</v>
      </c>
      <c r="D24" s="17">
        <v>7198</v>
      </c>
      <c r="E24" s="17">
        <v>9582.23</v>
      </c>
      <c r="F24" s="17">
        <v>13688.9</v>
      </c>
      <c r="G24" s="17">
        <v>9582.23</v>
      </c>
      <c r="H24" s="17">
        <v>4106.67</v>
      </c>
      <c r="I24" s="17">
        <v>3091.33</v>
      </c>
      <c r="J24" s="17">
        <v>3744</v>
      </c>
      <c r="K24" s="17">
        <f t="shared" si="0"/>
        <v>1123.2000000000003</v>
      </c>
      <c r="L24" s="17">
        <v>0</v>
      </c>
      <c r="M24" s="17">
        <f t="shared" si="1"/>
        <v>1123.2000000000003</v>
      </c>
      <c r="N24" s="17">
        <v>0</v>
      </c>
      <c r="O24" s="17">
        <f t="shared" si="4"/>
        <v>1123.2000000000003</v>
      </c>
      <c r="P24" s="17">
        <f>3744*C24</f>
        <v>1123.2000000000003</v>
      </c>
      <c r="Q24" s="17">
        <v>0</v>
      </c>
      <c r="R24" s="17">
        <v>0</v>
      </c>
      <c r="S24" s="17">
        <f t="shared" si="2"/>
        <v>1123.2000000000003</v>
      </c>
      <c r="T24" s="8">
        <f t="shared" si="3"/>
        <v>6074.7999999999993</v>
      </c>
      <c r="U24" s="4" t="s">
        <v>49</v>
      </c>
      <c r="V24" s="18" t="s">
        <v>50</v>
      </c>
      <c r="W24" s="4" t="s">
        <v>51</v>
      </c>
      <c r="X24" s="4"/>
      <c r="Y24" s="3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</row>
    <row r="25" spans="1:251" s="29" customFormat="1" ht="21" customHeight="1" x14ac:dyDescent="0.25">
      <c r="A25" s="32" t="s">
        <v>52</v>
      </c>
      <c r="B25" s="32"/>
      <c r="C25" s="33">
        <v>0.5</v>
      </c>
      <c r="D25" s="34">
        <v>6095</v>
      </c>
      <c r="E25" s="34">
        <v>26343.94</v>
      </c>
      <c r="F25" s="34">
        <v>12190</v>
      </c>
      <c r="G25" s="34">
        <v>6095</v>
      </c>
      <c r="H25" s="34">
        <v>6095</v>
      </c>
      <c r="I25" s="34">
        <v>0</v>
      </c>
      <c r="J25" s="34">
        <v>1265</v>
      </c>
      <c r="K25" s="34">
        <f t="shared" si="0"/>
        <v>632.5</v>
      </c>
      <c r="L25" s="34">
        <v>0</v>
      </c>
      <c r="M25" s="34">
        <f t="shared" si="1"/>
        <v>632.5</v>
      </c>
      <c r="N25" s="34">
        <v>0</v>
      </c>
      <c r="O25" s="34">
        <f t="shared" si="4"/>
        <v>632.5</v>
      </c>
      <c r="P25" s="35">
        <f>1265*C25</f>
        <v>632.5</v>
      </c>
      <c r="Q25" s="35">
        <v>0</v>
      </c>
      <c r="R25" s="35">
        <v>0</v>
      </c>
      <c r="S25" s="35">
        <f t="shared" si="2"/>
        <v>632.5</v>
      </c>
      <c r="T25" s="26">
        <f t="shared" si="3"/>
        <v>5462.5</v>
      </c>
      <c r="U25" s="27" t="s">
        <v>53</v>
      </c>
      <c r="V25" s="28" t="s">
        <v>54</v>
      </c>
      <c r="W25" s="27" t="s">
        <v>55</v>
      </c>
      <c r="X25" s="27"/>
      <c r="Y25" s="7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</row>
    <row r="26" spans="1:251" s="5" customFormat="1" ht="17.100000000000001" customHeight="1" x14ac:dyDescent="0.25">
      <c r="A26" s="14" t="s">
        <v>56</v>
      </c>
      <c r="B26" s="15"/>
      <c r="C26" s="16">
        <v>0.4</v>
      </c>
      <c r="D26" s="17">
        <v>7500</v>
      </c>
      <c r="E26" s="17">
        <v>9582.23</v>
      </c>
      <c r="F26" s="17">
        <v>15970.383333333333</v>
      </c>
      <c r="G26" s="17">
        <v>9582.23</v>
      </c>
      <c r="H26" s="17">
        <v>6388.1533333333336</v>
      </c>
      <c r="I26" s="17">
        <v>1111.8466666666664</v>
      </c>
      <c r="J26" s="17">
        <v>3255</v>
      </c>
      <c r="K26" s="17">
        <f t="shared" si="0"/>
        <v>1302</v>
      </c>
      <c r="L26" s="17">
        <v>0</v>
      </c>
      <c r="M26" s="17">
        <f t="shared" si="1"/>
        <v>1302</v>
      </c>
      <c r="N26" s="17">
        <v>0</v>
      </c>
      <c r="O26" s="17">
        <f t="shared" si="4"/>
        <v>1302</v>
      </c>
      <c r="P26" s="17">
        <f>3255*C26</f>
        <v>1302</v>
      </c>
      <c r="Q26" s="17">
        <v>0</v>
      </c>
      <c r="R26" s="17">
        <v>0</v>
      </c>
      <c r="S26" s="17">
        <f t="shared" si="2"/>
        <v>1302</v>
      </c>
      <c r="T26" s="8">
        <f t="shared" si="3"/>
        <v>6198</v>
      </c>
      <c r="U26" s="4" t="s">
        <v>57</v>
      </c>
      <c r="V26" s="18"/>
      <c r="W26" s="4"/>
      <c r="X26" s="4" t="s">
        <v>58</v>
      </c>
      <c r="Y26" s="3" t="s">
        <v>446</v>
      </c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</row>
    <row r="27" spans="1:251" s="29" customFormat="1" ht="21" customHeight="1" x14ac:dyDescent="0.25">
      <c r="A27" s="32" t="s">
        <v>264</v>
      </c>
      <c r="B27" s="32">
        <v>0.30599999999999999</v>
      </c>
      <c r="C27" s="33">
        <v>0.4</v>
      </c>
      <c r="D27" s="34">
        <v>23500</v>
      </c>
      <c r="E27" s="34">
        <v>1920</v>
      </c>
      <c r="F27" s="34">
        <v>3200</v>
      </c>
      <c r="G27" s="34">
        <v>1920</v>
      </c>
      <c r="H27" s="34">
        <v>1280</v>
      </c>
      <c r="I27" s="34">
        <v>22220</v>
      </c>
      <c r="J27" s="34">
        <v>3200</v>
      </c>
      <c r="K27" s="34">
        <f t="shared" si="0"/>
        <v>1280</v>
      </c>
      <c r="L27" s="34">
        <v>15856</v>
      </c>
      <c r="M27" s="34">
        <f t="shared" si="1"/>
        <v>17136</v>
      </c>
      <c r="N27" s="34">
        <v>0</v>
      </c>
      <c r="O27" s="34">
        <f t="shared" si="4"/>
        <v>17136</v>
      </c>
      <c r="P27" s="35">
        <f>3200*C27</f>
        <v>1280</v>
      </c>
      <c r="Q27" s="35">
        <v>15856</v>
      </c>
      <c r="R27" s="35">
        <v>0</v>
      </c>
      <c r="S27" s="35">
        <f t="shared" si="2"/>
        <v>17136</v>
      </c>
      <c r="T27" s="26">
        <f t="shared" si="3"/>
        <v>6364</v>
      </c>
      <c r="U27" s="27" t="s">
        <v>265</v>
      </c>
      <c r="V27" s="28" t="s">
        <v>266</v>
      </c>
      <c r="W27" s="27" t="s">
        <v>267</v>
      </c>
      <c r="X27" s="27"/>
      <c r="Y27" s="7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</row>
    <row r="28" spans="1:251" s="5" customFormat="1" ht="17.100000000000001" customHeight="1" x14ac:dyDescent="0.25">
      <c r="A28" s="14" t="s">
        <v>268</v>
      </c>
      <c r="B28" s="15">
        <v>0.38400000000000001</v>
      </c>
      <c r="C28" s="16">
        <v>0.30000000000000004</v>
      </c>
      <c r="D28" s="17">
        <v>440.29999999999563</v>
      </c>
      <c r="E28" s="17">
        <v>4200</v>
      </c>
      <c r="F28" s="17">
        <v>1466.6666666666665</v>
      </c>
      <c r="G28" s="17">
        <v>1026.6666666666665</v>
      </c>
      <c r="H28" s="17">
        <v>440</v>
      </c>
      <c r="I28" s="17">
        <v>0.29999999999563443</v>
      </c>
      <c r="J28" s="17">
        <v>1466</v>
      </c>
      <c r="K28" s="17">
        <f t="shared" si="0"/>
        <v>439.80000000000007</v>
      </c>
      <c r="L28" s="17">
        <v>0</v>
      </c>
      <c r="M28" s="17">
        <f t="shared" si="1"/>
        <v>439.80000000000007</v>
      </c>
      <c r="N28" s="17">
        <v>0</v>
      </c>
      <c r="O28" s="17">
        <f t="shared" si="4"/>
        <v>439.80000000000007</v>
      </c>
      <c r="P28" s="17">
        <f>1466*C28</f>
        <v>439.80000000000007</v>
      </c>
      <c r="Q28" s="17">
        <v>0</v>
      </c>
      <c r="R28" s="17">
        <v>0</v>
      </c>
      <c r="S28" s="17">
        <f t="shared" si="2"/>
        <v>439.80000000000007</v>
      </c>
      <c r="T28" s="8">
        <f t="shared" si="3"/>
        <v>0.49999999999556621</v>
      </c>
      <c r="U28" s="4" t="s">
        <v>269</v>
      </c>
      <c r="V28" s="18" t="s">
        <v>270</v>
      </c>
      <c r="W28" s="4" t="s">
        <v>271</v>
      </c>
      <c r="X28" s="4"/>
      <c r="Y28" s="3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</row>
    <row r="29" spans="1:251" s="29" customFormat="1" ht="21" customHeight="1" x14ac:dyDescent="0.25">
      <c r="A29" s="32" t="s">
        <v>59</v>
      </c>
      <c r="B29" s="32"/>
      <c r="C29" s="33">
        <v>0.5</v>
      </c>
      <c r="D29" s="34">
        <v>10000</v>
      </c>
      <c r="E29" s="34">
        <v>32340.01</v>
      </c>
      <c r="F29" s="34">
        <v>20000</v>
      </c>
      <c r="G29" s="34">
        <v>10000</v>
      </c>
      <c r="H29" s="34">
        <v>10000</v>
      </c>
      <c r="I29" s="34">
        <v>0</v>
      </c>
      <c r="J29" s="34">
        <v>6280</v>
      </c>
      <c r="K29" s="34">
        <f t="shared" si="0"/>
        <v>3140</v>
      </c>
      <c r="L29" s="34">
        <v>0</v>
      </c>
      <c r="M29" s="34">
        <f t="shared" si="1"/>
        <v>3140</v>
      </c>
      <c r="N29" s="34">
        <v>0</v>
      </c>
      <c r="O29" s="34">
        <f t="shared" si="4"/>
        <v>3140</v>
      </c>
      <c r="P29" s="35">
        <f>6280*C29</f>
        <v>3140</v>
      </c>
      <c r="Q29" s="35">
        <v>0</v>
      </c>
      <c r="R29" s="35">
        <v>0</v>
      </c>
      <c r="S29" s="35">
        <f t="shared" si="2"/>
        <v>3140</v>
      </c>
      <c r="T29" s="26">
        <f t="shared" si="3"/>
        <v>6860</v>
      </c>
      <c r="U29" s="27" t="s">
        <v>60</v>
      </c>
      <c r="V29" s="28" t="s">
        <v>61</v>
      </c>
      <c r="W29" s="27" t="s">
        <v>62</v>
      </c>
      <c r="X29" s="27"/>
      <c r="Y29" s="7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</row>
    <row r="30" spans="1:251" s="5" customFormat="1" ht="17.100000000000001" customHeight="1" x14ac:dyDescent="0.25">
      <c r="A30" s="14" t="s">
        <v>272</v>
      </c>
      <c r="B30" s="15">
        <v>0.41399999999999998</v>
      </c>
      <c r="C30" s="16">
        <v>0.30000000000000004</v>
      </c>
      <c r="D30" s="17">
        <v>31320</v>
      </c>
      <c r="E30" s="17">
        <v>25200</v>
      </c>
      <c r="F30" s="17">
        <v>36000</v>
      </c>
      <c r="G30" s="17">
        <v>25200</v>
      </c>
      <c r="H30" s="17">
        <v>10800.000000000002</v>
      </c>
      <c r="I30" s="17">
        <v>20520</v>
      </c>
      <c r="J30" s="17">
        <v>36000</v>
      </c>
      <c r="K30" s="17">
        <f t="shared" si="0"/>
        <v>10800.000000000002</v>
      </c>
      <c r="L30" s="17">
        <v>2405</v>
      </c>
      <c r="M30" s="17">
        <f t="shared" si="1"/>
        <v>13205.000000000002</v>
      </c>
      <c r="N30" s="17">
        <v>0</v>
      </c>
      <c r="O30" s="17">
        <f t="shared" si="4"/>
        <v>13205.000000000002</v>
      </c>
      <c r="P30" s="17">
        <f>36000*C30</f>
        <v>10800.000000000002</v>
      </c>
      <c r="Q30" s="17">
        <v>2405</v>
      </c>
      <c r="R30" s="17">
        <v>0</v>
      </c>
      <c r="S30" s="17">
        <f t="shared" si="2"/>
        <v>13205.000000000002</v>
      </c>
      <c r="T30" s="8">
        <f t="shared" si="3"/>
        <v>18115</v>
      </c>
      <c r="U30" s="4" t="s">
        <v>273</v>
      </c>
      <c r="V30" s="18" t="s">
        <v>274</v>
      </c>
      <c r="W30" s="4" t="s">
        <v>275</v>
      </c>
      <c r="X30" s="4"/>
      <c r="Y30" s="3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</row>
    <row r="31" spans="1:251" s="29" customFormat="1" ht="21" customHeight="1" x14ac:dyDescent="0.25">
      <c r="A31" s="32" t="s">
        <v>276</v>
      </c>
      <c r="B31" s="32">
        <v>0.32700000000000001</v>
      </c>
      <c r="C31" s="33">
        <v>0.5</v>
      </c>
      <c r="D31" s="34">
        <v>18712.400000000001</v>
      </c>
      <c r="E31" s="34">
        <v>0</v>
      </c>
      <c r="F31" s="34">
        <v>0</v>
      </c>
      <c r="G31" s="34">
        <v>0</v>
      </c>
      <c r="H31" s="34">
        <v>0</v>
      </c>
      <c r="I31" s="34">
        <v>18712.400000000001</v>
      </c>
      <c r="J31" s="34">
        <v>0</v>
      </c>
      <c r="K31" s="34">
        <f t="shared" si="0"/>
        <v>0</v>
      </c>
      <c r="L31" s="34">
        <f>9119*2</f>
        <v>18238</v>
      </c>
      <c r="M31" s="34">
        <f t="shared" si="1"/>
        <v>18238</v>
      </c>
      <c r="N31" s="34">
        <v>0</v>
      </c>
      <c r="O31" s="34">
        <f t="shared" si="4"/>
        <v>18238</v>
      </c>
      <c r="P31" s="35">
        <v>0</v>
      </c>
      <c r="Q31" s="35">
        <v>18238</v>
      </c>
      <c r="R31" s="35">
        <v>0</v>
      </c>
      <c r="S31" s="35">
        <f t="shared" si="2"/>
        <v>18238</v>
      </c>
      <c r="T31" s="26">
        <f t="shared" si="3"/>
        <v>474.40000000000146</v>
      </c>
      <c r="U31" s="27" t="s">
        <v>277</v>
      </c>
      <c r="V31" s="28" t="s">
        <v>278</v>
      </c>
      <c r="W31" s="27" t="s">
        <v>279</v>
      </c>
      <c r="X31" s="27" t="s">
        <v>280</v>
      </c>
      <c r="Y31" s="7" t="s">
        <v>446</v>
      </c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</row>
    <row r="32" spans="1:251" s="5" customFormat="1" ht="17.100000000000001" customHeight="1" x14ac:dyDescent="0.25">
      <c r="A32" s="14" t="s">
        <v>281</v>
      </c>
      <c r="B32" s="15">
        <v>0.378</v>
      </c>
      <c r="C32" s="16">
        <v>0.30000000000000004</v>
      </c>
      <c r="D32" s="17">
        <v>38160</v>
      </c>
      <c r="E32" s="17">
        <v>4900</v>
      </c>
      <c r="F32" s="17">
        <v>7000</v>
      </c>
      <c r="G32" s="17">
        <v>4900</v>
      </c>
      <c r="H32" s="17">
        <v>2100.0000000000005</v>
      </c>
      <c r="I32" s="17">
        <v>36060</v>
      </c>
      <c r="J32" s="17">
        <v>16333</v>
      </c>
      <c r="K32" s="17">
        <f t="shared" si="0"/>
        <v>4899.9000000000005</v>
      </c>
      <c r="L32" s="17">
        <v>33205</v>
      </c>
      <c r="M32" s="17">
        <f t="shared" si="1"/>
        <v>38104.9</v>
      </c>
      <c r="N32" s="17">
        <v>0</v>
      </c>
      <c r="O32" s="17">
        <f t="shared" si="4"/>
        <v>38104.9</v>
      </c>
      <c r="P32" s="17">
        <f>16333*C32</f>
        <v>4899.9000000000005</v>
      </c>
      <c r="Q32" s="17">
        <f>33238-333</f>
        <v>32905</v>
      </c>
      <c r="R32" s="17">
        <v>0</v>
      </c>
      <c r="S32" s="17">
        <f t="shared" si="2"/>
        <v>37804.9</v>
      </c>
      <c r="T32" s="8">
        <f t="shared" si="3"/>
        <v>355.09999999999854</v>
      </c>
      <c r="U32" s="4" t="s">
        <v>282</v>
      </c>
      <c r="V32" s="18" t="s">
        <v>283</v>
      </c>
      <c r="W32" s="4" t="s">
        <v>284</v>
      </c>
      <c r="X32" s="4"/>
      <c r="Y32" s="3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</row>
    <row r="33" spans="1:251" s="29" customFormat="1" ht="21" customHeight="1" x14ac:dyDescent="0.25">
      <c r="A33" s="32" t="s">
        <v>63</v>
      </c>
      <c r="B33" s="32"/>
      <c r="C33" s="33">
        <v>0.3</v>
      </c>
      <c r="D33" s="34">
        <v>5000</v>
      </c>
      <c r="E33" s="34" t="s">
        <v>24</v>
      </c>
      <c r="F33" s="34" t="s">
        <v>24</v>
      </c>
      <c r="G33" s="34" t="s">
        <v>24</v>
      </c>
      <c r="H33" s="34" t="s">
        <v>24</v>
      </c>
      <c r="I33" s="34" t="s">
        <v>24</v>
      </c>
      <c r="J33" s="34">
        <v>600</v>
      </c>
      <c r="K33" s="34">
        <f t="shared" si="0"/>
        <v>180</v>
      </c>
      <c r="L33" s="34">
        <v>0</v>
      </c>
      <c r="M33" s="34">
        <f t="shared" si="1"/>
        <v>180</v>
      </c>
      <c r="N33" s="34">
        <v>0</v>
      </c>
      <c r="O33" s="34">
        <f t="shared" si="4"/>
        <v>180</v>
      </c>
      <c r="P33" s="35">
        <f>600*C33</f>
        <v>180</v>
      </c>
      <c r="Q33" s="35">
        <v>0</v>
      </c>
      <c r="R33" s="35">
        <v>0</v>
      </c>
      <c r="S33" s="35">
        <f t="shared" si="2"/>
        <v>180</v>
      </c>
      <c r="T33" s="26">
        <f t="shared" si="3"/>
        <v>4820</v>
      </c>
      <c r="U33" s="27" t="s">
        <v>64</v>
      </c>
      <c r="V33" s="28" t="s">
        <v>65</v>
      </c>
      <c r="W33" s="27" t="s">
        <v>66</v>
      </c>
      <c r="X33" s="27"/>
      <c r="Y33" s="7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</row>
    <row r="34" spans="1:251" s="5" customFormat="1" ht="17.100000000000001" customHeight="1" x14ac:dyDescent="0.25">
      <c r="A34" s="14" t="s">
        <v>67</v>
      </c>
      <c r="B34" s="15"/>
      <c r="C34" s="16">
        <v>0.5</v>
      </c>
      <c r="D34" s="17">
        <v>7500</v>
      </c>
      <c r="E34" s="17">
        <v>9582.23</v>
      </c>
      <c r="F34" s="17">
        <v>15000</v>
      </c>
      <c r="G34" s="17">
        <v>7500</v>
      </c>
      <c r="H34" s="17">
        <v>7500</v>
      </c>
      <c r="I34" s="17">
        <v>0</v>
      </c>
      <c r="J34" s="17">
        <v>3506</v>
      </c>
      <c r="K34" s="17">
        <f t="shared" si="0"/>
        <v>1753</v>
      </c>
      <c r="L34" s="17">
        <v>0</v>
      </c>
      <c r="M34" s="17">
        <f t="shared" si="1"/>
        <v>1753</v>
      </c>
      <c r="N34" s="17">
        <v>0</v>
      </c>
      <c r="O34" s="17">
        <f t="shared" si="4"/>
        <v>1753</v>
      </c>
      <c r="P34" s="17">
        <f>3506*C34</f>
        <v>1753</v>
      </c>
      <c r="Q34" s="17">
        <v>0</v>
      </c>
      <c r="R34" s="17">
        <v>0</v>
      </c>
      <c r="S34" s="17">
        <f t="shared" si="2"/>
        <v>1753</v>
      </c>
      <c r="T34" s="8">
        <f t="shared" si="3"/>
        <v>5747</v>
      </c>
      <c r="U34" s="4" t="s">
        <v>20</v>
      </c>
      <c r="V34" s="18" t="s">
        <v>21</v>
      </c>
      <c r="W34" s="4" t="s">
        <v>68</v>
      </c>
      <c r="X34" s="4"/>
      <c r="Y34" s="3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</row>
    <row r="35" spans="1:251" s="29" customFormat="1" ht="21" customHeight="1" x14ac:dyDescent="0.25">
      <c r="A35" s="32" t="s">
        <v>285</v>
      </c>
      <c r="B35" s="32">
        <v>0.17599999999999999</v>
      </c>
      <c r="C35" s="33">
        <v>0.5</v>
      </c>
      <c r="D35" s="34">
        <v>34220.5</v>
      </c>
      <c r="E35" s="34">
        <v>42000</v>
      </c>
      <c r="F35" s="34">
        <v>68441</v>
      </c>
      <c r="G35" s="34">
        <v>34220.5</v>
      </c>
      <c r="H35" s="34">
        <v>34220.5</v>
      </c>
      <c r="I35" s="34">
        <v>0</v>
      </c>
      <c r="J35" s="34">
        <f>14414+2260</f>
        <v>16674</v>
      </c>
      <c r="K35" s="34">
        <f t="shared" ref="K35:K66" si="5">J35*C35</f>
        <v>8337</v>
      </c>
      <c r="L35" s="34">
        <v>0</v>
      </c>
      <c r="M35" s="34">
        <f t="shared" si="1"/>
        <v>8337</v>
      </c>
      <c r="N35" s="34">
        <v>24550</v>
      </c>
      <c r="O35" s="34">
        <f t="shared" si="4"/>
        <v>32887</v>
      </c>
      <c r="P35" s="35">
        <f>(14414+2260)*C35</f>
        <v>8337</v>
      </c>
      <c r="Q35" s="35">
        <v>0</v>
      </c>
      <c r="R35" s="35">
        <v>24550</v>
      </c>
      <c r="S35" s="35">
        <f t="shared" ref="S35:S66" si="6">SUM(P35:R35)</f>
        <v>32887</v>
      </c>
      <c r="T35" s="26">
        <f t="shared" ref="T35:T66" si="7">D35-S35</f>
        <v>1333.5</v>
      </c>
      <c r="U35" s="27" t="s">
        <v>286</v>
      </c>
      <c r="V35" s="28" t="s">
        <v>287</v>
      </c>
      <c r="W35" s="27" t="s">
        <v>288</v>
      </c>
      <c r="X35" s="27"/>
      <c r="Y35" s="7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</row>
    <row r="36" spans="1:251" s="5" customFormat="1" ht="17.100000000000001" customHeight="1" x14ac:dyDescent="0.25">
      <c r="A36" s="14" t="s">
        <v>289</v>
      </c>
      <c r="B36" s="15">
        <v>0.34799999999999998</v>
      </c>
      <c r="C36" s="16">
        <v>0.30000000000000004</v>
      </c>
      <c r="D36" s="17">
        <v>1160</v>
      </c>
      <c r="E36" s="17">
        <v>25900</v>
      </c>
      <c r="F36" s="17">
        <v>3866.6666666666661</v>
      </c>
      <c r="G36" s="17">
        <v>2706.6666666666661</v>
      </c>
      <c r="H36" s="17">
        <v>1160</v>
      </c>
      <c r="I36" s="17">
        <v>0</v>
      </c>
      <c r="J36" s="17">
        <v>3865</v>
      </c>
      <c r="K36" s="17">
        <f t="shared" si="5"/>
        <v>1159.5000000000002</v>
      </c>
      <c r="L36" s="17">
        <v>0</v>
      </c>
      <c r="M36" s="17">
        <f t="shared" si="1"/>
        <v>1159.5000000000002</v>
      </c>
      <c r="N36" s="17">
        <v>0</v>
      </c>
      <c r="O36" s="17">
        <f t="shared" si="4"/>
        <v>1159.5000000000002</v>
      </c>
      <c r="P36" s="17">
        <f>3865*C36</f>
        <v>1159.5000000000002</v>
      </c>
      <c r="Q36" s="17">
        <v>0</v>
      </c>
      <c r="R36" s="17">
        <v>0</v>
      </c>
      <c r="S36" s="17">
        <f t="shared" si="6"/>
        <v>1159.5000000000002</v>
      </c>
      <c r="T36" s="8">
        <f t="shared" si="7"/>
        <v>0.49999999999977263</v>
      </c>
      <c r="U36" s="4" t="s">
        <v>290</v>
      </c>
      <c r="V36" s="18" t="s">
        <v>291</v>
      </c>
      <c r="W36" s="4" t="s">
        <v>292</v>
      </c>
      <c r="X36" s="4"/>
      <c r="Y36" s="3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</row>
    <row r="37" spans="1:251" s="29" customFormat="1" ht="21" customHeight="1" x14ac:dyDescent="0.25">
      <c r="A37" s="32" t="s">
        <v>293</v>
      </c>
      <c r="B37" s="32">
        <v>0.26200000000000001</v>
      </c>
      <c r="C37" s="33">
        <v>0.4</v>
      </c>
      <c r="D37" s="34">
        <v>14012.4</v>
      </c>
      <c r="E37" s="34">
        <v>9600</v>
      </c>
      <c r="F37" s="34">
        <v>16000</v>
      </c>
      <c r="G37" s="34">
        <v>9600</v>
      </c>
      <c r="H37" s="34">
        <v>6400</v>
      </c>
      <c r="I37" s="34">
        <v>7612.4</v>
      </c>
      <c r="J37" s="34">
        <v>16000</v>
      </c>
      <c r="K37" s="34">
        <f t="shared" si="5"/>
        <v>6400</v>
      </c>
      <c r="L37" s="34">
        <v>4442</v>
      </c>
      <c r="M37" s="34">
        <f t="shared" si="1"/>
        <v>10842</v>
      </c>
      <c r="N37" s="34">
        <v>3170</v>
      </c>
      <c r="O37" s="34">
        <f t="shared" si="4"/>
        <v>14012</v>
      </c>
      <c r="P37" s="35">
        <f>16000*C37</f>
        <v>6400</v>
      </c>
      <c r="Q37" s="35">
        <v>4442</v>
      </c>
      <c r="R37" s="35">
        <v>0</v>
      </c>
      <c r="S37" s="35">
        <f t="shared" si="6"/>
        <v>10842</v>
      </c>
      <c r="T37" s="26">
        <f t="shared" si="7"/>
        <v>3170.3999999999996</v>
      </c>
      <c r="U37" s="27" t="s">
        <v>294</v>
      </c>
      <c r="V37" s="28" t="s">
        <v>295</v>
      </c>
      <c r="W37" s="27" t="s">
        <v>296</v>
      </c>
      <c r="X37" s="27" t="s">
        <v>297</v>
      </c>
      <c r="Y37" s="7" t="s">
        <v>446</v>
      </c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</row>
    <row r="38" spans="1:251" s="5" customFormat="1" ht="17.100000000000001" customHeight="1" x14ac:dyDescent="0.25">
      <c r="A38" s="14" t="s">
        <v>298</v>
      </c>
      <c r="B38" s="15">
        <v>0.28399999999999997</v>
      </c>
      <c r="C38" s="16">
        <v>0.4</v>
      </c>
      <c r="D38" s="17">
        <v>1000</v>
      </c>
      <c r="E38" s="17">
        <v>4200</v>
      </c>
      <c r="F38" s="17">
        <v>2500</v>
      </c>
      <c r="G38" s="17">
        <v>1500</v>
      </c>
      <c r="H38" s="17">
        <v>1000</v>
      </c>
      <c r="I38" s="17">
        <v>0</v>
      </c>
      <c r="J38" s="17">
        <v>2500</v>
      </c>
      <c r="K38" s="17">
        <f t="shared" si="5"/>
        <v>1000</v>
      </c>
      <c r="L38" s="17">
        <v>0</v>
      </c>
      <c r="M38" s="17">
        <f t="shared" si="1"/>
        <v>1000</v>
      </c>
      <c r="N38" s="17">
        <v>0</v>
      </c>
      <c r="O38" s="17">
        <f t="shared" si="4"/>
        <v>1000</v>
      </c>
      <c r="P38" s="17">
        <f>2500*C38</f>
        <v>1000</v>
      </c>
      <c r="Q38" s="17">
        <v>0</v>
      </c>
      <c r="R38" s="17">
        <v>0</v>
      </c>
      <c r="S38" s="17">
        <f t="shared" si="6"/>
        <v>1000</v>
      </c>
      <c r="T38" s="8">
        <f t="shared" si="7"/>
        <v>0</v>
      </c>
      <c r="U38" s="4" t="s">
        <v>299</v>
      </c>
      <c r="V38" s="18" t="s">
        <v>300</v>
      </c>
      <c r="W38" s="4" t="s">
        <v>301</v>
      </c>
      <c r="X38" s="4"/>
      <c r="Y38" s="3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</row>
    <row r="39" spans="1:251" s="29" customFormat="1" ht="21" customHeight="1" x14ac:dyDescent="0.25">
      <c r="A39" s="32" t="s">
        <v>69</v>
      </c>
      <c r="B39" s="32"/>
      <c r="C39" s="33">
        <v>0.4</v>
      </c>
      <c r="D39" s="34">
        <v>6735</v>
      </c>
      <c r="E39" s="34">
        <v>9582.23</v>
      </c>
      <c r="F39" s="34">
        <v>15970.383333333333</v>
      </c>
      <c r="G39" s="34">
        <v>9582.23</v>
      </c>
      <c r="H39" s="34">
        <v>6388.1533333333336</v>
      </c>
      <c r="I39" s="34">
        <v>346.84666666666635</v>
      </c>
      <c r="J39" s="34">
        <v>1391</v>
      </c>
      <c r="K39" s="34">
        <f t="shared" si="5"/>
        <v>556.4</v>
      </c>
      <c r="L39" s="34">
        <v>0</v>
      </c>
      <c r="M39" s="34">
        <f t="shared" si="1"/>
        <v>556.4</v>
      </c>
      <c r="N39" s="34">
        <v>0</v>
      </c>
      <c r="O39" s="34">
        <f t="shared" si="4"/>
        <v>556.4</v>
      </c>
      <c r="P39" s="35">
        <f>1391*C39</f>
        <v>556.4</v>
      </c>
      <c r="Q39" s="35">
        <v>0</v>
      </c>
      <c r="R39" s="35">
        <v>0</v>
      </c>
      <c r="S39" s="35">
        <f t="shared" si="6"/>
        <v>556.4</v>
      </c>
      <c r="T39" s="26">
        <f t="shared" si="7"/>
        <v>6178.6</v>
      </c>
      <c r="U39" s="27" t="s">
        <v>70</v>
      </c>
      <c r="V39" s="28" t="s">
        <v>71</v>
      </c>
      <c r="W39" s="27" t="s">
        <v>72</v>
      </c>
      <c r="X39" s="27"/>
      <c r="Y39" s="7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</row>
    <row r="40" spans="1:251" s="5" customFormat="1" ht="17.100000000000001" customHeight="1" x14ac:dyDescent="0.25">
      <c r="A40" s="14" t="s">
        <v>302</v>
      </c>
      <c r="B40" s="15">
        <v>0.23699999999999999</v>
      </c>
      <c r="C40" s="16">
        <v>0.4</v>
      </c>
      <c r="D40" s="17">
        <v>49701.599999999999</v>
      </c>
      <c r="E40" s="17">
        <v>99000</v>
      </c>
      <c r="F40" s="17">
        <v>124255</v>
      </c>
      <c r="G40" s="17">
        <v>74553</v>
      </c>
      <c r="H40" s="17">
        <v>49702</v>
      </c>
      <c r="I40" s="17">
        <v>0</v>
      </c>
      <c r="J40" s="17">
        <v>124000</v>
      </c>
      <c r="K40" s="17">
        <f t="shared" si="5"/>
        <v>49600</v>
      </c>
      <c r="L40" s="17">
        <v>0</v>
      </c>
      <c r="M40" s="17">
        <f t="shared" si="1"/>
        <v>49600</v>
      </c>
      <c r="N40" s="17">
        <v>0</v>
      </c>
      <c r="O40" s="17">
        <f t="shared" si="4"/>
        <v>49600</v>
      </c>
      <c r="P40" s="17">
        <f>124000*C40</f>
        <v>49600</v>
      </c>
      <c r="Q40" s="17">
        <v>0</v>
      </c>
      <c r="R40" s="17">
        <v>0</v>
      </c>
      <c r="S40" s="17">
        <f t="shared" si="6"/>
        <v>49600</v>
      </c>
      <c r="T40" s="8">
        <f t="shared" si="7"/>
        <v>101.59999999999854</v>
      </c>
      <c r="U40" s="4" t="s">
        <v>303</v>
      </c>
      <c r="V40" s="18" t="s">
        <v>304</v>
      </c>
      <c r="W40" s="4" t="s">
        <v>305</v>
      </c>
      <c r="X40" s="4"/>
      <c r="Y40" s="3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</row>
    <row r="41" spans="1:251" s="29" customFormat="1" ht="21" customHeight="1" x14ac:dyDescent="0.25">
      <c r="A41" s="32" t="s">
        <v>73</v>
      </c>
      <c r="B41" s="32"/>
      <c r="C41" s="33">
        <v>0.30000000000000004</v>
      </c>
      <c r="D41" s="34">
        <v>7198</v>
      </c>
      <c r="E41" s="34">
        <v>18685.34</v>
      </c>
      <c r="F41" s="34">
        <v>23993.333333333328</v>
      </c>
      <c r="G41" s="34">
        <v>16795.333333333328</v>
      </c>
      <c r="H41" s="34">
        <v>7198</v>
      </c>
      <c r="I41" s="34">
        <v>0</v>
      </c>
      <c r="J41" s="34">
        <v>1389</v>
      </c>
      <c r="K41" s="34">
        <f t="shared" si="5"/>
        <v>416.70000000000005</v>
      </c>
      <c r="L41" s="34">
        <v>0</v>
      </c>
      <c r="M41" s="34">
        <f t="shared" si="1"/>
        <v>416.70000000000005</v>
      </c>
      <c r="N41" s="34">
        <v>0</v>
      </c>
      <c r="O41" s="34">
        <f t="shared" si="4"/>
        <v>416.70000000000005</v>
      </c>
      <c r="P41" s="35">
        <f>1389*C41</f>
        <v>416.70000000000005</v>
      </c>
      <c r="Q41" s="35">
        <v>0</v>
      </c>
      <c r="R41" s="35">
        <v>0</v>
      </c>
      <c r="S41" s="35">
        <f t="shared" si="6"/>
        <v>416.70000000000005</v>
      </c>
      <c r="T41" s="26">
        <f t="shared" si="7"/>
        <v>6781.3</v>
      </c>
      <c r="U41" s="27" t="s">
        <v>74</v>
      </c>
      <c r="V41" s="28" t="s">
        <v>75</v>
      </c>
      <c r="W41" s="27" t="s">
        <v>76</v>
      </c>
      <c r="X41" s="27"/>
      <c r="Y41" s="7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</row>
    <row r="42" spans="1:251" s="5" customFormat="1" ht="17.100000000000001" customHeight="1" x14ac:dyDescent="0.25">
      <c r="A42" s="14" t="s">
        <v>77</v>
      </c>
      <c r="B42" s="15"/>
      <c r="C42" s="16">
        <v>0.4</v>
      </c>
      <c r="D42" s="17">
        <v>4597</v>
      </c>
      <c r="E42" s="17">
        <v>9582.23</v>
      </c>
      <c r="F42" s="17">
        <v>11492.5</v>
      </c>
      <c r="G42" s="17">
        <v>6895.5</v>
      </c>
      <c r="H42" s="17">
        <v>4597</v>
      </c>
      <c r="I42" s="17">
        <v>0</v>
      </c>
      <c r="J42" s="17">
        <v>108</v>
      </c>
      <c r="K42" s="17">
        <f t="shared" si="5"/>
        <v>43.2</v>
      </c>
      <c r="L42" s="17">
        <v>0</v>
      </c>
      <c r="M42" s="17">
        <f t="shared" si="1"/>
        <v>43.2</v>
      </c>
      <c r="N42" s="17">
        <v>0</v>
      </c>
      <c r="O42" s="17">
        <f t="shared" si="4"/>
        <v>43.2</v>
      </c>
      <c r="P42" s="17">
        <f>108*C42</f>
        <v>43.2</v>
      </c>
      <c r="Q42" s="17">
        <v>0</v>
      </c>
      <c r="R42" s="17">
        <v>0</v>
      </c>
      <c r="S42" s="17">
        <f t="shared" si="6"/>
        <v>43.2</v>
      </c>
      <c r="T42" s="8">
        <f t="shared" si="7"/>
        <v>4553.8</v>
      </c>
      <c r="U42" s="4" t="s">
        <v>78</v>
      </c>
      <c r="V42" s="18" t="s">
        <v>79</v>
      </c>
      <c r="W42" s="4" t="s">
        <v>80</v>
      </c>
      <c r="X42" s="4"/>
      <c r="Y42" s="3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</row>
    <row r="43" spans="1:251" s="29" customFormat="1" ht="21" customHeight="1" x14ac:dyDescent="0.25">
      <c r="A43" s="32" t="s">
        <v>306</v>
      </c>
      <c r="B43" s="32">
        <v>0.39800000000000002</v>
      </c>
      <c r="C43" s="33">
        <v>0.30000000000000004</v>
      </c>
      <c r="D43" s="34">
        <v>9799.8999999999978</v>
      </c>
      <c r="E43" s="34">
        <v>1610</v>
      </c>
      <c r="F43" s="34">
        <v>2300</v>
      </c>
      <c r="G43" s="34">
        <v>1610</v>
      </c>
      <c r="H43" s="34">
        <v>690.00000000000011</v>
      </c>
      <c r="I43" s="34">
        <v>9109.8999999999978</v>
      </c>
      <c r="J43" s="34">
        <v>2300</v>
      </c>
      <c r="K43" s="34">
        <f t="shared" si="5"/>
        <v>690.00000000000011</v>
      </c>
      <c r="L43" s="34">
        <v>9110</v>
      </c>
      <c r="M43" s="34">
        <f t="shared" si="1"/>
        <v>9800</v>
      </c>
      <c r="N43" s="34">
        <v>0</v>
      </c>
      <c r="O43" s="34">
        <f t="shared" si="4"/>
        <v>9800</v>
      </c>
      <c r="P43" s="35">
        <f>2300*C43</f>
        <v>690.00000000000011</v>
      </c>
      <c r="Q43" s="35">
        <v>9110</v>
      </c>
      <c r="R43" s="35">
        <v>0</v>
      </c>
      <c r="S43" s="35">
        <f t="shared" si="6"/>
        <v>9800</v>
      </c>
      <c r="T43" s="26">
        <f t="shared" si="7"/>
        <v>-0.10000000000218279</v>
      </c>
      <c r="U43" s="27" t="s">
        <v>307</v>
      </c>
      <c r="V43" s="28" t="s">
        <v>308</v>
      </c>
      <c r="W43" s="27" t="s">
        <v>309</v>
      </c>
      <c r="X43" s="27"/>
      <c r="Y43" s="7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</row>
    <row r="44" spans="1:251" s="5" customFormat="1" ht="17.100000000000001" customHeight="1" x14ac:dyDescent="0.25">
      <c r="A44" s="14" t="s">
        <v>310</v>
      </c>
      <c r="B44" s="15">
        <v>0.47199999999999998</v>
      </c>
      <c r="C44" s="16">
        <v>0.19999999999999996</v>
      </c>
      <c r="D44" s="17">
        <v>1378</v>
      </c>
      <c r="E44" s="17">
        <v>4800</v>
      </c>
      <c r="F44" s="17">
        <v>6000</v>
      </c>
      <c r="G44" s="17">
        <v>4800</v>
      </c>
      <c r="H44" s="17">
        <v>1199.9999999999998</v>
      </c>
      <c r="I44" s="17">
        <v>178.00000000000023</v>
      </c>
      <c r="J44" s="17">
        <f>4800+418</f>
        <v>5218</v>
      </c>
      <c r="K44" s="17">
        <f t="shared" si="5"/>
        <v>1043.5999999999997</v>
      </c>
      <c r="L44" s="17">
        <v>0</v>
      </c>
      <c r="M44" s="17">
        <f t="shared" si="1"/>
        <v>1043.5999999999997</v>
      </c>
      <c r="N44" s="17">
        <v>0</v>
      </c>
      <c r="O44" s="17">
        <f t="shared" si="4"/>
        <v>1043.5999999999997</v>
      </c>
      <c r="P44" s="17">
        <f>(4800+418)*C44</f>
        <v>1043.5999999999997</v>
      </c>
      <c r="Q44" s="17">
        <v>0</v>
      </c>
      <c r="R44" s="17">
        <v>0</v>
      </c>
      <c r="S44" s="17">
        <f t="shared" si="6"/>
        <v>1043.5999999999997</v>
      </c>
      <c r="T44" s="8">
        <f t="shared" si="7"/>
        <v>334.40000000000032</v>
      </c>
      <c r="U44" s="4" t="s">
        <v>311</v>
      </c>
      <c r="V44" s="18" t="s">
        <v>312</v>
      </c>
      <c r="W44" s="4" t="s">
        <v>313</v>
      </c>
      <c r="X44" s="4"/>
      <c r="Y44" s="3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</row>
    <row r="45" spans="1:251" s="29" customFormat="1" ht="21" customHeight="1" x14ac:dyDescent="0.25">
      <c r="A45" s="32" t="s">
        <v>81</v>
      </c>
      <c r="B45" s="32"/>
      <c r="C45" s="33">
        <v>0.30000000000000004</v>
      </c>
      <c r="D45" s="34">
        <v>7500</v>
      </c>
      <c r="E45" s="34">
        <v>9582.23</v>
      </c>
      <c r="F45" s="34">
        <v>13688.9</v>
      </c>
      <c r="G45" s="34">
        <v>9582.23</v>
      </c>
      <c r="H45" s="34">
        <v>4106.67</v>
      </c>
      <c r="I45" s="34">
        <v>3393.33</v>
      </c>
      <c r="J45" s="34">
        <v>1295</v>
      </c>
      <c r="K45" s="34">
        <f t="shared" si="5"/>
        <v>388.50000000000006</v>
      </c>
      <c r="L45" s="34">
        <v>0</v>
      </c>
      <c r="M45" s="34">
        <f t="shared" si="1"/>
        <v>388.50000000000006</v>
      </c>
      <c r="N45" s="34">
        <v>0</v>
      </c>
      <c r="O45" s="34">
        <f t="shared" si="4"/>
        <v>388.50000000000006</v>
      </c>
      <c r="P45" s="35">
        <f>1295*C45</f>
        <v>388.50000000000006</v>
      </c>
      <c r="Q45" s="35">
        <v>0</v>
      </c>
      <c r="R45" s="35">
        <v>0</v>
      </c>
      <c r="S45" s="35">
        <f t="shared" si="6"/>
        <v>388.50000000000006</v>
      </c>
      <c r="T45" s="26">
        <f t="shared" si="7"/>
        <v>7111.5</v>
      </c>
      <c r="U45" s="27" t="s">
        <v>82</v>
      </c>
      <c r="V45" s="28" t="s">
        <v>83</v>
      </c>
      <c r="W45" s="27" t="s">
        <v>84</v>
      </c>
      <c r="X45" s="27"/>
      <c r="Y45" s="7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</row>
    <row r="46" spans="1:251" s="5" customFormat="1" ht="17.100000000000001" customHeight="1" x14ac:dyDescent="0.25">
      <c r="A46" s="14" t="s">
        <v>85</v>
      </c>
      <c r="B46" s="15"/>
      <c r="C46" s="16">
        <v>0.4</v>
      </c>
      <c r="D46" s="17">
        <v>7097</v>
      </c>
      <c r="E46" s="17">
        <v>9582.23</v>
      </c>
      <c r="F46" s="17">
        <v>15970.383333333333</v>
      </c>
      <c r="G46" s="17">
        <v>9582.23</v>
      </c>
      <c r="H46" s="17">
        <v>6388.1533333333336</v>
      </c>
      <c r="I46" s="17">
        <v>708.84666666666635</v>
      </c>
      <c r="J46" s="17">
        <v>744</v>
      </c>
      <c r="K46" s="17">
        <f t="shared" si="5"/>
        <v>297.60000000000002</v>
      </c>
      <c r="L46" s="17">
        <v>0</v>
      </c>
      <c r="M46" s="17">
        <f t="shared" si="1"/>
        <v>297.60000000000002</v>
      </c>
      <c r="N46" s="17">
        <v>0</v>
      </c>
      <c r="O46" s="17">
        <f t="shared" si="4"/>
        <v>297.60000000000002</v>
      </c>
      <c r="P46" s="17">
        <f>744*C46</f>
        <v>297.60000000000002</v>
      </c>
      <c r="Q46" s="17">
        <v>0</v>
      </c>
      <c r="R46" s="17">
        <v>0</v>
      </c>
      <c r="S46" s="17">
        <f t="shared" si="6"/>
        <v>297.60000000000002</v>
      </c>
      <c r="T46" s="8">
        <f t="shared" si="7"/>
        <v>6799.4</v>
      </c>
      <c r="U46" s="4" t="s">
        <v>86</v>
      </c>
      <c r="V46" s="18" t="s">
        <v>87</v>
      </c>
      <c r="W46" s="4" t="s">
        <v>88</v>
      </c>
      <c r="X46" s="4"/>
      <c r="Y46" s="3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</row>
    <row r="47" spans="1:251" s="29" customFormat="1" ht="21" customHeight="1" x14ac:dyDescent="0.25">
      <c r="A47" s="32" t="s">
        <v>314</v>
      </c>
      <c r="B47" s="32">
        <v>0.53</v>
      </c>
      <c r="C47" s="33">
        <v>0.19999999999999996</v>
      </c>
      <c r="D47" s="34">
        <v>24200</v>
      </c>
      <c r="E47" s="34">
        <v>0</v>
      </c>
      <c r="F47" s="34">
        <v>0</v>
      </c>
      <c r="G47" s="34">
        <v>0</v>
      </c>
      <c r="H47" s="34">
        <v>0</v>
      </c>
      <c r="I47" s="34">
        <v>24200</v>
      </c>
      <c r="J47" s="34">
        <v>0</v>
      </c>
      <c r="K47" s="34">
        <f t="shared" si="5"/>
        <v>0</v>
      </c>
      <c r="L47" s="34">
        <v>24200</v>
      </c>
      <c r="M47" s="34">
        <f t="shared" si="1"/>
        <v>24200</v>
      </c>
      <c r="N47" s="34">
        <v>0</v>
      </c>
      <c r="O47" s="34">
        <f t="shared" si="4"/>
        <v>24200</v>
      </c>
      <c r="P47" s="35">
        <v>0</v>
      </c>
      <c r="Q47" s="35">
        <v>24199</v>
      </c>
      <c r="R47" s="35">
        <v>0</v>
      </c>
      <c r="S47" s="35">
        <f t="shared" si="6"/>
        <v>24199</v>
      </c>
      <c r="T47" s="26">
        <f t="shared" si="7"/>
        <v>1</v>
      </c>
      <c r="U47" s="27" t="s">
        <v>315</v>
      </c>
      <c r="V47" s="28" t="s">
        <v>316</v>
      </c>
      <c r="W47" s="27" t="s">
        <v>317</v>
      </c>
      <c r="X47" s="27"/>
      <c r="Y47" s="7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  <c r="GP47" s="25"/>
    </row>
    <row r="48" spans="1:251" s="5" customFormat="1" ht="17.100000000000001" customHeight="1" x14ac:dyDescent="0.25">
      <c r="A48" s="14" t="s">
        <v>89</v>
      </c>
      <c r="B48" s="15"/>
      <c r="C48" s="16">
        <v>0.30000000000000004</v>
      </c>
      <c r="D48" s="17">
        <v>7500</v>
      </c>
      <c r="E48" s="17" t="s">
        <v>24</v>
      </c>
      <c r="F48" s="17" t="s">
        <v>24</v>
      </c>
      <c r="G48" s="17" t="s">
        <v>24</v>
      </c>
      <c r="H48" s="17" t="s">
        <v>24</v>
      </c>
      <c r="I48" s="17" t="s">
        <v>24</v>
      </c>
      <c r="J48" s="17">
        <v>180</v>
      </c>
      <c r="K48" s="17">
        <f t="shared" si="5"/>
        <v>54.000000000000007</v>
      </c>
      <c r="L48" s="17">
        <v>0</v>
      </c>
      <c r="M48" s="17">
        <f t="shared" si="1"/>
        <v>54.000000000000007</v>
      </c>
      <c r="N48" s="17">
        <v>0</v>
      </c>
      <c r="O48" s="17">
        <f t="shared" si="4"/>
        <v>54.000000000000007</v>
      </c>
      <c r="P48" s="17">
        <f>180*C48</f>
        <v>54.000000000000007</v>
      </c>
      <c r="Q48" s="17">
        <v>0</v>
      </c>
      <c r="R48" s="17">
        <v>0</v>
      </c>
      <c r="S48" s="17">
        <f t="shared" si="6"/>
        <v>54.000000000000007</v>
      </c>
      <c r="T48" s="8">
        <f t="shared" si="7"/>
        <v>7446</v>
      </c>
      <c r="U48" s="4" t="s">
        <v>90</v>
      </c>
      <c r="V48" s="18" t="s">
        <v>91</v>
      </c>
      <c r="W48" s="4" t="s">
        <v>92</v>
      </c>
      <c r="X48" s="4"/>
      <c r="Y48" s="3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</row>
    <row r="49" spans="1:251" s="29" customFormat="1" ht="21" customHeight="1" x14ac:dyDescent="0.25">
      <c r="A49" s="32" t="s">
        <v>318</v>
      </c>
      <c r="B49" s="32">
        <v>0.23200000000000001</v>
      </c>
      <c r="C49" s="33">
        <v>1</v>
      </c>
      <c r="D49" s="34">
        <v>15690.4</v>
      </c>
      <c r="E49" s="34">
        <v>0</v>
      </c>
      <c r="F49" s="34">
        <v>0</v>
      </c>
      <c r="G49" s="34">
        <v>0</v>
      </c>
      <c r="H49" s="34">
        <v>0</v>
      </c>
      <c r="I49" s="34">
        <v>15690.4</v>
      </c>
      <c r="J49" s="34">
        <v>0</v>
      </c>
      <c r="K49" s="34">
        <f t="shared" si="5"/>
        <v>0</v>
      </c>
      <c r="L49" s="34">
        <f>3645+895</f>
        <v>4540</v>
      </c>
      <c r="M49" s="34">
        <f t="shared" si="1"/>
        <v>4540</v>
      </c>
      <c r="N49" s="34">
        <v>0</v>
      </c>
      <c r="O49" s="34">
        <f t="shared" si="4"/>
        <v>4540</v>
      </c>
      <c r="P49" s="35">
        <v>0</v>
      </c>
      <c r="Q49" s="35">
        <f>3645+895</f>
        <v>4540</v>
      </c>
      <c r="R49" s="35">
        <v>0</v>
      </c>
      <c r="S49" s="35">
        <f t="shared" si="6"/>
        <v>4540</v>
      </c>
      <c r="T49" s="26">
        <f t="shared" si="7"/>
        <v>11150.4</v>
      </c>
      <c r="U49" s="27" t="s">
        <v>319</v>
      </c>
      <c r="V49" s="28" t="s">
        <v>320</v>
      </c>
      <c r="W49" s="27" t="s">
        <v>321</v>
      </c>
      <c r="X49" s="27"/>
      <c r="Y49" s="7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5"/>
      <c r="GN49" s="25"/>
      <c r="GO49" s="25"/>
      <c r="GP49" s="25"/>
    </row>
    <row r="50" spans="1:251" s="5" customFormat="1" ht="17.100000000000001" customHeight="1" x14ac:dyDescent="0.25">
      <c r="A50" s="14" t="s">
        <v>93</v>
      </c>
      <c r="B50" s="15"/>
      <c r="C50" s="16">
        <v>0.30000000000000004</v>
      </c>
      <c r="D50" s="17">
        <v>7145</v>
      </c>
      <c r="E50" s="17">
        <v>17631.3</v>
      </c>
      <c r="F50" s="17">
        <v>23816.666666666664</v>
      </c>
      <c r="G50" s="17">
        <v>16671.666666666664</v>
      </c>
      <c r="H50" s="17">
        <v>7145</v>
      </c>
      <c r="I50" s="17">
        <v>0</v>
      </c>
      <c r="J50" s="17">
        <f>780</f>
        <v>780</v>
      </c>
      <c r="K50" s="17">
        <f t="shared" si="5"/>
        <v>234.00000000000003</v>
      </c>
      <c r="L50" s="17">
        <v>0</v>
      </c>
      <c r="M50" s="17">
        <f t="shared" si="1"/>
        <v>234.00000000000003</v>
      </c>
      <c r="N50" s="17">
        <v>0</v>
      </c>
      <c r="O50" s="17">
        <f t="shared" si="4"/>
        <v>234.00000000000003</v>
      </c>
      <c r="P50" s="17">
        <f>780*C50</f>
        <v>234.00000000000003</v>
      </c>
      <c r="Q50" s="17">
        <v>0</v>
      </c>
      <c r="R50" s="17">
        <v>0</v>
      </c>
      <c r="S50" s="17">
        <f t="shared" si="6"/>
        <v>234.00000000000003</v>
      </c>
      <c r="T50" s="8">
        <f t="shared" si="7"/>
        <v>6911</v>
      </c>
      <c r="U50" s="4" t="s">
        <v>94</v>
      </c>
      <c r="V50" s="18" t="s">
        <v>95</v>
      </c>
      <c r="W50" s="4" t="s">
        <v>96</v>
      </c>
      <c r="X50" s="4"/>
      <c r="Y50" s="3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</row>
    <row r="51" spans="1:251" s="29" customFormat="1" ht="21" customHeight="1" x14ac:dyDescent="0.25">
      <c r="A51" s="32" t="s">
        <v>322</v>
      </c>
      <c r="B51" s="32">
        <v>0.33</v>
      </c>
      <c r="C51" s="33">
        <v>0.30000000000000004</v>
      </c>
      <c r="D51" s="34">
        <v>1723.1999999999971</v>
      </c>
      <c r="E51" s="34">
        <v>19600</v>
      </c>
      <c r="F51" s="34">
        <v>5743.3333333333321</v>
      </c>
      <c r="G51" s="34">
        <v>4020.3333333333321</v>
      </c>
      <c r="H51" s="34">
        <v>1723</v>
      </c>
      <c r="I51" s="34">
        <v>0.19999999999708962</v>
      </c>
      <c r="J51" s="34">
        <v>5596</v>
      </c>
      <c r="K51" s="34">
        <f t="shared" si="5"/>
        <v>1678.8000000000002</v>
      </c>
      <c r="L51" s="34">
        <v>0</v>
      </c>
      <c r="M51" s="34">
        <f>K51+L51</f>
        <v>1678.8000000000002</v>
      </c>
      <c r="N51" s="34">
        <v>0</v>
      </c>
      <c r="O51" s="34">
        <f>M51+N51</f>
        <v>1678.8000000000002</v>
      </c>
      <c r="P51" s="35">
        <f>5596*C51</f>
        <v>1678.8000000000002</v>
      </c>
      <c r="Q51" s="35">
        <v>0</v>
      </c>
      <c r="R51" s="35">
        <v>0</v>
      </c>
      <c r="S51" s="35">
        <f t="shared" si="6"/>
        <v>1678.8000000000002</v>
      </c>
      <c r="T51" s="26">
        <f t="shared" si="7"/>
        <v>44.399999999996908</v>
      </c>
      <c r="U51" s="27" t="s">
        <v>323</v>
      </c>
      <c r="V51" s="28" t="s">
        <v>324</v>
      </c>
      <c r="W51" s="27" t="s">
        <v>325</v>
      </c>
      <c r="X51" s="27"/>
      <c r="Y51" s="7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</row>
    <row r="52" spans="1:251" s="5" customFormat="1" ht="17.100000000000001" customHeight="1" x14ac:dyDescent="0.25">
      <c r="A52" s="14" t="s">
        <v>97</v>
      </c>
      <c r="B52" s="15"/>
      <c r="C52" s="16">
        <v>0.4</v>
      </c>
      <c r="D52" s="17">
        <v>7500</v>
      </c>
      <c r="E52" s="17">
        <v>14373.34</v>
      </c>
      <c r="F52" s="17">
        <v>18750</v>
      </c>
      <c r="G52" s="17">
        <v>11250</v>
      </c>
      <c r="H52" s="17">
        <v>7500</v>
      </c>
      <c r="I52" s="17">
        <v>0</v>
      </c>
      <c r="J52" s="17">
        <v>2336</v>
      </c>
      <c r="K52" s="17">
        <f t="shared" si="5"/>
        <v>934.40000000000009</v>
      </c>
      <c r="L52" s="17">
        <v>0</v>
      </c>
      <c r="M52" s="17">
        <f t="shared" ref="M52:M83" si="8">SUM(K52:L52)</f>
        <v>934.40000000000009</v>
      </c>
      <c r="N52" s="17">
        <v>0</v>
      </c>
      <c r="O52" s="17">
        <f t="shared" ref="O52:O83" si="9">SUM(M52:N52)</f>
        <v>934.40000000000009</v>
      </c>
      <c r="P52" s="17">
        <f>2336*C52</f>
        <v>934.40000000000009</v>
      </c>
      <c r="Q52" s="17">
        <v>0</v>
      </c>
      <c r="R52" s="17">
        <v>0</v>
      </c>
      <c r="S52" s="17">
        <f t="shared" si="6"/>
        <v>934.40000000000009</v>
      </c>
      <c r="T52" s="8">
        <f t="shared" si="7"/>
        <v>6565.6</v>
      </c>
      <c r="U52" s="4" t="s">
        <v>98</v>
      </c>
      <c r="V52" s="18" t="s">
        <v>99</v>
      </c>
      <c r="W52" s="4" t="s">
        <v>100</v>
      </c>
      <c r="X52" s="4"/>
      <c r="Y52" s="3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</row>
    <row r="53" spans="1:251" s="29" customFormat="1" ht="21" customHeight="1" x14ac:dyDescent="0.25">
      <c r="A53" s="32" t="s">
        <v>101</v>
      </c>
      <c r="B53" s="32"/>
      <c r="C53" s="33">
        <v>0.4</v>
      </c>
      <c r="D53" s="34">
        <v>7500</v>
      </c>
      <c r="E53" s="34">
        <v>9582.23</v>
      </c>
      <c r="F53" s="34">
        <v>15970.383333333333</v>
      </c>
      <c r="G53" s="34">
        <v>9582.23</v>
      </c>
      <c r="H53" s="34">
        <v>6388.1533333333336</v>
      </c>
      <c r="I53" s="34">
        <v>1111.8466666666664</v>
      </c>
      <c r="J53" s="34">
        <v>590</v>
      </c>
      <c r="K53" s="34">
        <f t="shared" si="5"/>
        <v>236</v>
      </c>
      <c r="L53" s="34">
        <v>0</v>
      </c>
      <c r="M53" s="34">
        <f t="shared" si="8"/>
        <v>236</v>
      </c>
      <c r="N53" s="34">
        <v>0</v>
      </c>
      <c r="O53" s="34">
        <f t="shared" si="9"/>
        <v>236</v>
      </c>
      <c r="P53" s="35">
        <f>590*C53</f>
        <v>236</v>
      </c>
      <c r="Q53" s="35">
        <v>0</v>
      </c>
      <c r="R53" s="35">
        <v>0</v>
      </c>
      <c r="S53" s="35">
        <f t="shared" si="6"/>
        <v>236</v>
      </c>
      <c r="T53" s="26">
        <f t="shared" si="7"/>
        <v>7264</v>
      </c>
      <c r="U53" s="27" t="s">
        <v>102</v>
      </c>
      <c r="V53" s="28" t="s">
        <v>103</v>
      </c>
      <c r="W53" s="27" t="s">
        <v>104</v>
      </c>
      <c r="X53" s="27"/>
      <c r="Y53" s="7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</row>
    <row r="54" spans="1:251" s="5" customFormat="1" ht="17.100000000000001" customHeight="1" x14ac:dyDescent="0.25">
      <c r="A54" s="14" t="s">
        <v>105</v>
      </c>
      <c r="B54" s="15"/>
      <c r="C54" s="16">
        <v>0.30000000000000004</v>
      </c>
      <c r="D54" s="17">
        <v>5000</v>
      </c>
      <c r="E54" s="17">
        <v>9582.23</v>
      </c>
      <c r="F54" s="17">
        <v>13688.9</v>
      </c>
      <c r="G54" s="17">
        <v>9582.23</v>
      </c>
      <c r="H54" s="17">
        <v>4106.67</v>
      </c>
      <c r="I54" s="17">
        <v>893.32999999999993</v>
      </c>
      <c r="J54" s="17">
        <v>1295</v>
      </c>
      <c r="K54" s="17">
        <f t="shared" si="5"/>
        <v>388.50000000000006</v>
      </c>
      <c r="L54" s="17">
        <v>0</v>
      </c>
      <c r="M54" s="17">
        <f t="shared" si="8"/>
        <v>388.50000000000006</v>
      </c>
      <c r="N54" s="17">
        <v>0</v>
      </c>
      <c r="O54" s="17">
        <f t="shared" si="9"/>
        <v>388.50000000000006</v>
      </c>
      <c r="P54" s="17">
        <f>1295*C54</f>
        <v>388.50000000000006</v>
      </c>
      <c r="Q54" s="17">
        <v>0</v>
      </c>
      <c r="R54" s="17">
        <v>0</v>
      </c>
      <c r="S54" s="17">
        <f t="shared" si="6"/>
        <v>388.50000000000006</v>
      </c>
      <c r="T54" s="8">
        <f t="shared" si="7"/>
        <v>4611.5</v>
      </c>
      <c r="U54" s="4" t="s">
        <v>106</v>
      </c>
      <c r="V54" s="18" t="s">
        <v>107</v>
      </c>
      <c r="W54" s="4" t="s">
        <v>108</v>
      </c>
      <c r="X54" s="4"/>
      <c r="Y54" s="3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</row>
    <row r="55" spans="1:251" s="29" customFormat="1" ht="21" customHeight="1" x14ac:dyDescent="0.25">
      <c r="A55" s="32" t="s">
        <v>109</v>
      </c>
      <c r="B55" s="32"/>
      <c r="C55" s="33">
        <v>0.30000000000000004</v>
      </c>
      <c r="D55" s="34">
        <v>7500</v>
      </c>
      <c r="E55" s="34">
        <v>9582.23</v>
      </c>
      <c r="F55" s="34">
        <v>13688.9</v>
      </c>
      <c r="G55" s="34">
        <v>9582.23</v>
      </c>
      <c r="H55" s="34">
        <v>4106.67</v>
      </c>
      <c r="I55" s="34">
        <v>3393.33</v>
      </c>
      <c r="J55" s="34">
        <v>3594</v>
      </c>
      <c r="K55" s="34">
        <f t="shared" si="5"/>
        <v>1078.2000000000003</v>
      </c>
      <c r="L55" s="34">
        <v>0</v>
      </c>
      <c r="M55" s="34">
        <f t="shared" si="8"/>
        <v>1078.2000000000003</v>
      </c>
      <c r="N55" s="34">
        <v>0</v>
      </c>
      <c r="O55" s="34">
        <f t="shared" si="9"/>
        <v>1078.2000000000003</v>
      </c>
      <c r="P55" s="35">
        <f>3594*C55</f>
        <v>1078.2000000000003</v>
      </c>
      <c r="Q55" s="35">
        <v>0</v>
      </c>
      <c r="R55" s="35">
        <v>0</v>
      </c>
      <c r="S55" s="35">
        <f t="shared" si="6"/>
        <v>1078.2000000000003</v>
      </c>
      <c r="T55" s="26">
        <f t="shared" si="7"/>
        <v>6421.7999999999993</v>
      </c>
      <c r="U55" s="27" t="s">
        <v>20</v>
      </c>
      <c r="V55" s="28" t="s">
        <v>21</v>
      </c>
      <c r="W55" s="27" t="s">
        <v>110</v>
      </c>
      <c r="X55" s="27"/>
      <c r="Y55" s="7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  <c r="FX55" s="25"/>
      <c r="FY55" s="25"/>
      <c r="FZ55" s="25"/>
      <c r="GA55" s="25"/>
      <c r="GB55" s="25"/>
      <c r="GC55" s="25"/>
      <c r="GD55" s="25"/>
      <c r="GE55" s="25"/>
      <c r="GF55" s="25"/>
      <c r="GG55" s="25"/>
      <c r="GH55" s="25"/>
      <c r="GI55" s="25"/>
      <c r="GJ55" s="25"/>
      <c r="GK55" s="25"/>
      <c r="GL55" s="25"/>
      <c r="GM55" s="25"/>
      <c r="GN55" s="25"/>
      <c r="GO55" s="25"/>
      <c r="GP55" s="25"/>
    </row>
    <row r="56" spans="1:251" s="5" customFormat="1" ht="17.100000000000001" customHeight="1" x14ac:dyDescent="0.25">
      <c r="A56" s="14" t="s">
        <v>111</v>
      </c>
      <c r="B56" s="15"/>
      <c r="C56" s="16">
        <v>0.30000000000000004</v>
      </c>
      <c r="D56" s="17">
        <v>4503</v>
      </c>
      <c r="E56" s="17">
        <v>9582.23</v>
      </c>
      <c r="F56" s="17">
        <v>13688.9</v>
      </c>
      <c r="G56" s="17">
        <v>9582.23</v>
      </c>
      <c r="H56" s="17">
        <v>4106.67</v>
      </c>
      <c r="I56" s="17">
        <v>396.32999999999993</v>
      </c>
      <c r="J56" s="17">
        <f>3144</f>
        <v>3144</v>
      </c>
      <c r="K56" s="17">
        <f t="shared" si="5"/>
        <v>943.20000000000016</v>
      </c>
      <c r="L56" s="17">
        <v>0</v>
      </c>
      <c r="M56" s="17">
        <f t="shared" si="8"/>
        <v>943.20000000000016</v>
      </c>
      <c r="N56" s="17">
        <v>0</v>
      </c>
      <c r="O56" s="17">
        <f t="shared" si="9"/>
        <v>943.20000000000016</v>
      </c>
      <c r="P56" s="17">
        <f>3144*C56</f>
        <v>943.20000000000016</v>
      </c>
      <c r="Q56" s="17">
        <v>0</v>
      </c>
      <c r="R56" s="17">
        <v>0</v>
      </c>
      <c r="S56" s="17">
        <f t="shared" si="6"/>
        <v>943.20000000000016</v>
      </c>
      <c r="T56" s="8">
        <f t="shared" si="7"/>
        <v>3559.7999999999997</v>
      </c>
      <c r="U56" s="4" t="s">
        <v>112</v>
      </c>
      <c r="V56" s="18" t="s">
        <v>113</v>
      </c>
      <c r="W56" s="4" t="s">
        <v>114</v>
      </c>
      <c r="X56" s="4"/>
      <c r="Y56" s="3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</row>
    <row r="57" spans="1:251" s="29" customFormat="1" ht="21" customHeight="1" x14ac:dyDescent="0.25">
      <c r="A57" s="32" t="s">
        <v>326</v>
      </c>
      <c r="B57" s="32">
        <v>0.503</v>
      </c>
      <c r="C57" s="33">
        <v>0.19999999999999996</v>
      </c>
      <c r="D57" s="34">
        <v>18779</v>
      </c>
      <c r="E57" s="34">
        <v>8000</v>
      </c>
      <c r="F57" s="34">
        <v>10000</v>
      </c>
      <c r="G57" s="34">
        <v>8000</v>
      </c>
      <c r="H57" s="34">
        <v>1999.9999999999995</v>
      </c>
      <c r="I57" s="34">
        <v>16779</v>
      </c>
      <c r="J57" s="34">
        <v>10000</v>
      </c>
      <c r="K57" s="34">
        <f t="shared" si="5"/>
        <v>1999.9999999999995</v>
      </c>
      <c r="L57" s="34">
        <v>16779</v>
      </c>
      <c r="M57" s="34">
        <f t="shared" si="8"/>
        <v>18779</v>
      </c>
      <c r="N57" s="34">
        <v>0</v>
      </c>
      <c r="O57" s="34">
        <f t="shared" si="9"/>
        <v>18779</v>
      </c>
      <c r="P57" s="35">
        <f>10000*C57</f>
        <v>1999.9999999999995</v>
      </c>
      <c r="Q57" s="35">
        <v>16779</v>
      </c>
      <c r="R57" s="35">
        <v>0</v>
      </c>
      <c r="S57" s="35">
        <f t="shared" si="6"/>
        <v>18779</v>
      </c>
      <c r="T57" s="26">
        <f t="shared" si="7"/>
        <v>0</v>
      </c>
      <c r="U57" s="27" t="s">
        <v>327</v>
      </c>
      <c r="V57" s="28" t="s">
        <v>328</v>
      </c>
      <c r="W57" s="27" t="s">
        <v>329</v>
      </c>
      <c r="X57" s="27"/>
      <c r="Y57" s="7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  <c r="FS57" s="25"/>
      <c r="FT57" s="25"/>
      <c r="FU57" s="25"/>
      <c r="FV57" s="25"/>
      <c r="FW57" s="25"/>
      <c r="FX57" s="25"/>
      <c r="FY57" s="25"/>
      <c r="FZ57" s="25"/>
      <c r="GA57" s="25"/>
      <c r="GB57" s="25"/>
      <c r="GC57" s="25"/>
      <c r="GD57" s="25"/>
      <c r="GE57" s="25"/>
      <c r="GF57" s="25"/>
      <c r="GG57" s="25"/>
      <c r="GH57" s="25"/>
      <c r="GI57" s="25"/>
      <c r="GJ57" s="25"/>
      <c r="GK57" s="25"/>
      <c r="GL57" s="25"/>
      <c r="GM57" s="25"/>
      <c r="GN57" s="25"/>
      <c r="GO57" s="25"/>
      <c r="GP57" s="25"/>
    </row>
    <row r="58" spans="1:251" s="5" customFormat="1" ht="17.100000000000001" customHeight="1" x14ac:dyDescent="0.25">
      <c r="A58" s="14" t="s">
        <v>115</v>
      </c>
      <c r="B58" s="15"/>
      <c r="C58" s="16">
        <v>0.4</v>
      </c>
      <c r="D58" s="17">
        <v>4597</v>
      </c>
      <c r="E58" s="17">
        <v>14883.59</v>
      </c>
      <c r="F58" s="17">
        <v>11492.5</v>
      </c>
      <c r="G58" s="17">
        <v>6895.5</v>
      </c>
      <c r="H58" s="17">
        <v>4597</v>
      </c>
      <c r="I58" s="17">
        <v>0</v>
      </c>
      <c r="J58" s="17">
        <f>780</f>
        <v>780</v>
      </c>
      <c r="K58" s="17">
        <f t="shared" si="5"/>
        <v>312</v>
      </c>
      <c r="L58" s="17">
        <v>0</v>
      </c>
      <c r="M58" s="17">
        <f t="shared" si="8"/>
        <v>312</v>
      </c>
      <c r="N58" s="17">
        <v>0</v>
      </c>
      <c r="O58" s="17">
        <f t="shared" si="9"/>
        <v>312</v>
      </c>
      <c r="P58" s="17">
        <f>780*C58</f>
        <v>312</v>
      </c>
      <c r="Q58" s="17">
        <v>0</v>
      </c>
      <c r="R58" s="17">
        <v>0</v>
      </c>
      <c r="S58" s="17">
        <f t="shared" si="6"/>
        <v>312</v>
      </c>
      <c r="T58" s="8">
        <f t="shared" si="7"/>
        <v>4285</v>
      </c>
      <c r="U58" s="4" t="s">
        <v>116</v>
      </c>
      <c r="V58" s="18" t="s">
        <v>117</v>
      </c>
      <c r="W58" s="4" t="s">
        <v>118</v>
      </c>
      <c r="X58" s="4"/>
      <c r="Y58" s="3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</row>
    <row r="59" spans="1:251" s="29" customFormat="1" ht="21" customHeight="1" x14ac:dyDescent="0.25">
      <c r="A59" s="32" t="s">
        <v>119</v>
      </c>
      <c r="B59" s="32"/>
      <c r="C59" s="33">
        <v>0.4</v>
      </c>
      <c r="D59" s="34">
        <v>7500</v>
      </c>
      <c r="E59" s="34">
        <v>17966.669999999998</v>
      </c>
      <c r="F59" s="34">
        <v>18750</v>
      </c>
      <c r="G59" s="34">
        <v>11250</v>
      </c>
      <c r="H59" s="34">
        <v>7500</v>
      </c>
      <c r="I59" s="34">
        <v>0</v>
      </c>
      <c r="J59" s="34">
        <v>5113</v>
      </c>
      <c r="K59" s="34">
        <f t="shared" si="5"/>
        <v>2045.2</v>
      </c>
      <c r="L59" s="34">
        <v>0</v>
      </c>
      <c r="M59" s="34">
        <f t="shared" si="8"/>
        <v>2045.2</v>
      </c>
      <c r="N59" s="34">
        <v>0</v>
      </c>
      <c r="O59" s="34">
        <f t="shared" si="9"/>
        <v>2045.2</v>
      </c>
      <c r="P59" s="35">
        <f>5113*C59</f>
        <v>2045.2</v>
      </c>
      <c r="Q59" s="35">
        <v>0</v>
      </c>
      <c r="R59" s="35">
        <v>0</v>
      </c>
      <c r="S59" s="35">
        <f t="shared" si="6"/>
        <v>2045.2</v>
      </c>
      <c r="T59" s="26">
        <f t="shared" si="7"/>
        <v>5454.8</v>
      </c>
      <c r="U59" s="27" t="s">
        <v>20</v>
      </c>
      <c r="V59" s="28" t="s">
        <v>21</v>
      </c>
      <c r="W59" s="27" t="s">
        <v>120</v>
      </c>
      <c r="X59" s="27"/>
      <c r="Y59" s="7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</row>
    <row r="60" spans="1:251" s="5" customFormat="1" ht="17.100000000000001" customHeight="1" x14ac:dyDescent="0.25">
      <c r="A60" s="14" t="s">
        <v>330</v>
      </c>
      <c r="B60" s="15">
        <v>0.28199999999999997</v>
      </c>
      <c r="C60" s="16">
        <v>0.30000000000000004</v>
      </c>
      <c r="D60" s="17">
        <v>57400</v>
      </c>
      <c r="E60" s="17">
        <v>154000</v>
      </c>
      <c r="F60" s="17">
        <v>191333.33333333331</v>
      </c>
      <c r="G60" s="17">
        <v>133933.33333333331</v>
      </c>
      <c r="H60" s="17">
        <v>57400</v>
      </c>
      <c r="I60" s="17">
        <v>0</v>
      </c>
      <c r="J60" s="17">
        <v>31320</v>
      </c>
      <c r="K60" s="17">
        <f t="shared" si="5"/>
        <v>9396.0000000000018</v>
      </c>
      <c r="L60" s="17">
        <v>0</v>
      </c>
      <c r="M60" s="17">
        <f t="shared" si="8"/>
        <v>9396.0000000000018</v>
      </c>
      <c r="N60" s="17">
        <v>0</v>
      </c>
      <c r="O60" s="17">
        <f t="shared" si="9"/>
        <v>9396.0000000000018</v>
      </c>
      <c r="P60" s="17">
        <f>31320*C60</f>
        <v>9396.0000000000018</v>
      </c>
      <c r="Q60" s="17">
        <v>0</v>
      </c>
      <c r="R60" s="17">
        <v>0</v>
      </c>
      <c r="S60" s="17">
        <f t="shared" si="6"/>
        <v>9396.0000000000018</v>
      </c>
      <c r="T60" s="8">
        <f t="shared" si="7"/>
        <v>48004</v>
      </c>
      <c r="U60" s="4" t="s">
        <v>331</v>
      </c>
      <c r="V60" s="18" t="s">
        <v>332</v>
      </c>
      <c r="W60" s="4" t="s">
        <v>333</v>
      </c>
      <c r="X60" s="4"/>
      <c r="Y60" s="3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</row>
    <row r="61" spans="1:251" s="29" customFormat="1" ht="21" customHeight="1" x14ac:dyDescent="0.25">
      <c r="A61" s="32" t="s">
        <v>121</v>
      </c>
      <c r="B61" s="32"/>
      <c r="C61" s="33">
        <v>0.4</v>
      </c>
      <c r="D61" s="34">
        <v>10000</v>
      </c>
      <c r="E61" s="34">
        <v>26590.68</v>
      </c>
      <c r="F61" s="34">
        <v>25000</v>
      </c>
      <c r="G61" s="34">
        <v>15000</v>
      </c>
      <c r="H61" s="34">
        <v>10000</v>
      </c>
      <c r="I61" s="34">
        <v>0</v>
      </c>
      <c r="J61" s="34">
        <v>2569</v>
      </c>
      <c r="K61" s="34">
        <f t="shared" si="5"/>
        <v>1027.6000000000001</v>
      </c>
      <c r="L61" s="34">
        <v>0</v>
      </c>
      <c r="M61" s="34">
        <f t="shared" si="8"/>
        <v>1027.6000000000001</v>
      </c>
      <c r="N61" s="34">
        <v>0</v>
      </c>
      <c r="O61" s="34">
        <f t="shared" si="9"/>
        <v>1027.6000000000001</v>
      </c>
      <c r="P61" s="35">
        <f>2569*C61</f>
        <v>1027.6000000000001</v>
      </c>
      <c r="Q61" s="35">
        <v>0</v>
      </c>
      <c r="R61" s="35">
        <v>0</v>
      </c>
      <c r="S61" s="35">
        <f t="shared" si="6"/>
        <v>1027.6000000000001</v>
      </c>
      <c r="T61" s="26">
        <f t="shared" si="7"/>
        <v>8972.4</v>
      </c>
      <c r="U61" s="27" t="s">
        <v>122</v>
      </c>
      <c r="V61" s="28" t="s">
        <v>123</v>
      </c>
      <c r="W61" s="27" t="s">
        <v>124</v>
      </c>
      <c r="X61" s="27"/>
      <c r="Y61" s="7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  <c r="FP61" s="25"/>
      <c r="FQ61" s="25"/>
      <c r="FR61" s="25"/>
      <c r="FS61" s="25"/>
      <c r="FT61" s="25"/>
      <c r="FU61" s="25"/>
      <c r="FV61" s="25"/>
      <c r="FW61" s="25"/>
      <c r="FX61" s="25"/>
      <c r="FY61" s="25"/>
      <c r="FZ61" s="25"/>
      <c r="GA61" s="25"/>
      <c r="GB61" s="25"/>
      <c r="GC61" s="25"/>
      <c r="GD61" s="25"/>
      <c r="GE61" s="25"/>
      <c r="GF61" s="25"/>
      <c r="GG61" s="25"/>
      <c r="GH61" s="25"/>
      <c r="GI61" s="25"/>
      <c r="GJ61" s="25"/>
      <c r="GK61" s="25"/>
      <c r="GL61" s="25"/>
      <c r="GM61" s="25"/>
      <c r="GN61" s="25"/>
      <c r="GO61" s="25"/>
      <c r="GP61" s="25"/>
    </row>
    <row r="62" spans="1:251" s="5" customFormat="1" ht="17.100000000000001" customHeight="1" x14ac:dyDescent="0.25">
      <c r="A62" s="14" t="s">
        <v>125</v>
      </c>
      <c r="B62" s="15"/>
      <c r="C62" s="16">
        <v>0.19999999999999996</v>
      </c>
      <c r="D62" s="17">
        <v>7298</v>
      </c>
      <c r="E62" s="17">
        <v>9582.23</v>
      </c>
      <c r="F62" s="17">
        <v>11977.787499999999</v>
      </c>
      <c r="G62" s="17">
        <v>9582.23</v>
      </c>
      <c r="H62" s="17">
        <v>2395.557499999999</v>
      </c>
      <c r="I62" s="17">
        <v>4902.442500000001</v>
      </c>
      <c r="J62" s="17">
        <v>817</v>
      </c>
      <c r="K62" s="17">
        <f t="shared" si="5"/>
        <v>163.39999999999998</v>
      </c>
      <c r="L62" s="17">
        <v>0</v>
      </c>
      <c r="M62" s="17">
        <f t="shared" si="8"/>
        <v>163.39999999999998</v>
      </c>
      <c r="N62" s="17">
        <v>0</v>
      </c>
      <c r="O62" s="17">
        <f t="shared" si="9"/>
        <v>163.39999999999998</v>
      </c>
      <c r="P62" s="17">
        <f>817*C62</f>
        <v>163.39999999999998</v>
      </c>
      <c r="Q62" s="17">
        <v>0</v>
      </c>
      <c r="R62" s="17">
        <v>0</v>
      </c>
      <c r="S62" s="17">
        <f t="shared" si="6"/>
        <v>163.39999999999998</v>
      </c>
      <c r="T62" s="8">
        <f t="shared" si="7"/>
        <v>7134.6</v>
      </c>
      <c r="U62" s="4" t="s">
        <v>126</v>
      </c>
      <c r="V62" s="18" t="s">
        <v>127</v>
      </c>
      <c r="W62" s="4" t="s">
        <v>128</v>
      </c>
      <c r="X62" s="4"/>
      <c r="Y62" s="3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</row>
    <row r="63" spans="1:251" s="29" customFormat="1" ht="21" customHeight="1" x14ac:dyDescent="0.25">
      <c r="A63" s="32" t="s">
        <v>129</v>
      </c>
      <c r="B63" s="32"/>
      <c r="C63" s="33">
        <v>0.30000000000000004</v>
      </c>
      <c r="D63" s="34">
        <v>7500</v>
      </c>
      <c r="E63" s="34">
        <v>9582.23</v>
      </c>
      <c r="F63" s="34">
        <v>13688.9</v>
      </c>
      <c r="G63" s="34">
        <v>9582.23</v>
      </c>
      <c r="H63" s="34">
        <v>4106.67</v>
      </c>
      <c r="I63" s="34">
        <v>3393.33</v>
      </c>
      <c r="J63" s="34">
        <v>4549</v>
      </c>
      <c r="K63" s="34">
        <f t="shared" si="5"/>
        <v>1364.7000000000003</v>
      </c>
      <c r="L63" s="34">
        <v>0</v>
      </c>
      <c r="M63" s="34">
        <f t="shared" si="8"/>
        <v>1364.7000000000003</v>
      </c>
      <c r="N63" s="34">
        <v>0</v>
      </c>
      <c r="O63" s="34">
        <f t="shared" si="9"/>
        <v>1364.7000000000003</v>
      </c>
      <c r="P63" s="35">
        <f>4549*C63</f>
        <v>1364.7000000000003</v>
      </c>
      <c r="Q63" s="35">
        <v>0</v>
      </c>
      <c r="R63" s="35">
        <v>0</v>
      </c>
      <c r="S63" s="35">
        <f t="shared" si="6"/>
        <v>1364.7000000000003</v>
      </c>
      <c r="T63" s="26">
        <f t="shared" si="7"/>
        <v>6135.2999999999993</v>
      </c>
      <c r="U63" s="27" t="s">
        <v>20</v>
      </c>
      <c r="V63" s="28" t="s">
        <v>21</v>
      </c>
      <c r="W63" s="27" t="s">
        <v>130</v>
      </c>
      <c r="X63" s="27"/>
      <c r="Y63" s="7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5"/>
      <c r="FK63" s="25"/>
      <c r="FL63" s="25"/>
      <c r="FM63" s="25"/>
      <c r="FN63" s="25"/>
      <c r="FO63" s="25"/>
      <c r="FP63" s="25"/>
      <c r="FQ63" s="25"/>
      <c r="FR63" s="25"/>
      <c r="FS63" s="25"/>
      <c r="FT63" s="25"/>
      <c r="FU63" s="25"/>
      <c r="FV63" s="25"/>
      <c r="FW63" s="25"/>
      <c r="FX63" s="25"/>
      <c r="FY63" s="2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25"/>
      <c r="GM63" s="25"/>
      <c r="GN63" s="25"/>
      <c r="GO63" s="25"/>
      <c r="GP63" s="25"/>
    </row>
    <row r="64" spans="1:251" s="5" customFormat="1" ht="17.100000000000001" customHeight="1" x14ac:dyDescent="0.25">
      <c r="A64" s="14" t="s">
        <v>131</v>
      </c>
      <c r="B64" s="15"/>
      <c r="C64" s="16">
        <v>0.4</v>
      </c>
      <c r="D64" s="17">
        <v>7500</v>
      </c>
      <c r="E64" s="17">
        <v>14373.34</v>
      </c>
      <c r="F64" s="17">
        <v>18750</v>
      </c>
      <c r="G64" s="17">
        <v>11250</v>
      </c>
      <c r="H64" s="17">
        <v>7500</v>
      </c>
      <c r="I64" s="17">
        <v>0</v>
      </c>
      <c r="J64" s="17">
        <v>1168</v>
      </c>
      <c r="K64" s="17">
        <f t="shared" si="5"/>
        <v>467.20000000000005</v>
      </c>
      <c r="L64" s="17">
        <v>0</v>
      </c>
      <c r="M64" s="17">
        <f t="shared" si="8"/>
        <v>467.20000000000005</v>
      </c>
      <c r="N64" s="17">
        <v>0</v>
      </c>
      <c r="O64" s="17">
        <f t="shared" si="9"/>
        <v>467.20000000000005</v>
      </c>
      <c r="P64" s="17">
        <f>1168*C64</f>
        <v>467.20000000000005</v>
      </c>
      <c r="Q64" s="17">
        <v>0</v>
      </c>
      <c r="R64" s="17">
        <v>0</v>
      </c>
      <c r="S64" s="17">
        <f t="shared" si="6"/>
        <v>467.20000000000005</v>
      </c>
      <c r="T64" s="8">
        <f t="shared" si="7"/>
        <v>7032.8</v>
      </c>
      <c r="U64" s="4" t="s">
        <v>132</v>
      </c>
      <c r="V64" s="18" t="s">
        <v>133</v>
      </c>
      <c r="W64" s="4" t="s">
        <v>134</v>
      </c>
      <c r="X64" s="4"/>
      <c r="Y64" s="3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</row>
    <row r="65" spans="1:251" s="29" customFormat="1" ht="21" customHeight="1" x14ac:dyDescent="0.25">
      <c r="A65" s="32" t="s">
        <v>334</v>
      </c>
      <c r="B65" s="32">
        <v>0.23699999999999999</v>
      </c>
      <c r="C65" s="33">
        <v>0.4</v>
      </c>
      <c r="D65" s="34">
        <v>1101.8000000000029</v>
      </c>
      <c r="E65" s="34">
        <v>5400</v>
      </c>
      <c r="F65" s="34">
        <v>2755</v>
      </c>
      <c r="G65" s="34">
        <v>1653</v>
      </c>
      <c r="H65" s="34">
        <v>1102</v>
      </c>
      <c r="I65" s="34">
        <v>0</v>
      </c>
      <c r="J65" s="34">
        <v>2700</v>
      </c>
      <c r="K65" s="34">
        <f t="shared" si="5"/>
        <v>1080</v>
      </c>
      <c r="L65" s="34">
        <v>0</v>
      </c>
      <c r="M65" s="34">
        <f t="shared" si="8"/>
        <v>1080</v>
      </c>
      <c r="N65" s="34">
        <v>0</v>
      </c>
      <c r="O65" s="34">
        <f t="shared" si="9"/>
        <v>1080</v>
      </c>
      <c r="P65" s="35">
        <f>2700*C65</f>
        <v>1080</v>
      </c>
      <c r="Q65" s="35">
        <v>0</v>
      </c>
      <c r="R65" s="35">
        <v>0</v>
      </c>
      <c r="S65" s="35">
        <f t="shared" si="6"/>
        <v>1080</v>
      </c>
      <c r="T65" s="26">
        <f t="shared" si="7"/>
        <v>21.80000000000291</v>
      </c>
      <c r="U65" s="27" t="s">
        <v>335</v>
      </c>
      <c r="V65" s="28" t="s">
        <v>336</v>
      </c>
      <c r="W65" s="27" t="s">
        <v>337</v>
      </c>
      <c r="X65" s="27"/>
      <c r="Y65" s="7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5"/>
      <c r="FK65" s="25"/>
      <c r="FL65" s="25"/>
      <c r="FM65" s="25"/>
      <c r="FN65" s="25"/>
      <c r="FO65" s="25"/>
      <c r="FP65" s="25"/>
      <c r="FQ65" s="25"/>
      <c r="FR65" s="25"/>
      <c r="FS65" s="25"/>
      <c r="FT65" s="25"/>
      <c r="FU65" s="25"/>
      <c r="FV65" s="25"/>
      <c r="FW65" s="25"/>
      <c r="FX65" s="25"/>
      <c r="FY65" s="25"/>
      <c r="FZ65" s="25"/>
      <c r="GA65" s="25"/>
      <c r="GB65" s="25"/>
      <c r="GC65" s="25"/>
      <c r="GD65" s="25"/>
      <c r="GE65" s="25"/>
      <c r="GF65" s="25"/>
      <c r="GG65" s="25"/>
      <c r="GH65" s="25"/>
      <c r="GI65" s="25"/>
      <c r="GJ65" s="25"/>
      <c r="GK65" s="25"/>
      <c r="GL65" s="25"/>
      <c r="GM65" s="25"/>
      <c r="GN65" s="25"/>
      <c r="GO65" s="25"/>
      <c r="GP65" s="25"/>
    </row>
    <row r="66" spans="1:251" s="5" customFormat="1" ht="17.100000000000001" customHeight="1" x14ac:dyDescent="0.25">
      <c r="A66" s="14" t="s">
        <v>135</v>
      </c>
      <c r="B66" s="15"/>
      <c r="C66" s="16">
        <v>0.30000000000000004</v>
      </c>
      <c r="D66" s="17">
        <v>5000</v>
      </c>
      <c r="E66" s="17">
        <v>9582.23</v>
      </c>
      <c r="F66" s="17">
        <v>13688.9</v>
      </c>
      <c r="G66" s="17">
        <v>9582.23</v>
      </c>
      <c r="H66" s="17">
        <v>4106.67</v>
      </c>
      <c r="I66" s="17">
        <v>893.32999999999993</v>
      </c>
      <c r="J66" s="17">
        <v>875</v>
      </c>
      <c r="K66" s="17">
        <f t="shared" si="5"/>
        <v>262.50000000000006</v>
      </c>
      <c r="L66" s="17">
        <v>0</v>
      </c>
      <c r="M66" s="17">
        <f t="shared" si="8"/>
        <v>262.50000000000006</v>
      </c>
      <c r="N66" s="17">
        <v>0</v>
      </c>
      <c r="O66" s="17">
        <f t="shared" si="9"/>
        <v>262.50000000000006</v>
      </c>
      <c r="P66" s="17">
        <f>875*C66</f>
        <v>262.50000000000006</v>
      </c>
      <c r="Q66" s="17">
        <v>0</v>
      </c>
      <c r="R66" s="17">
        <v>0</v>
      </c>
      <c r="S66" s="17">
        <f t="shared" si="6"/>
        <v>262.50000000000006</v>
      </c>
      <c r="T66" s="8">
        <f t="shared" si="7"/>
        <v>4737.5</v>
      </c>
      <c r="U66" s="4" t="s">
        <v>136</v>
      </c>
      <c r="V66" s="18" t="s">
        <v>137</v>
      </c>
      <c r="W66" s="4" t="s">
        <v>138</v>
      </c>
      <c r="X66" s="4"/>
      <c r="Y66" s="3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</row>
    <row r="67" spans="1:251" s="29" customFormat="1" ht="21" customHeight="1" x14ac:dyDescent="0.25">
      <c r="A67" s="32" t="s">
        <v>338</v>
      </c>
      <c r="B67" s="32">
        <v>0.14199999999999999</v>
      </c>
      <c r="C67" s="33">
        <v>0.5</v>
      </c>
      <c r="D67" s="34">
        <v>55300.5</v>
      </c>
      <c r="E67" s="34">
        <v>0</v>
      </c>
      <c r="F67" s="34">
        <v>0</v>
      </c>
      <c r="G67" s="34">
        <v>0</v>
      </c>
      <c r="H67" s="34">
        <v>0</v>
      </c>
      <c r="I67" s="34">
        <v>55300.5</v>
      </c>
      <c r="J67" s="34">
        <v>0</v>
      </c>
      <c r="K67" s="34">
        <f t="shared" ref="K67:K98" si="10">J67*C67</f>
        <v>0</v>
      </c>
      <c r="L67" s="34">
        <v>0</v>
      </c>
      <c r="M67" s="34">
        <f t="shared" si="8"/>
        <v>0</v>
      </c>
      <c r="N67" s="34">
        <v>15000</v>
      </c>
      <c r="O67" s="34">
        <f t="shared" si="9"/>
        <v>15000</v>
      </c>
      <c r="P67" s="35">
        <v>0</v>
      </c>
      <c r="Q67" s="35">
        <v>0</v>
      </c>
      <c r="R67" s="35">
        <v>15000</v>
      </c>
      <c r="S67" s="35">
        <f t="shared" ref="S67:S98" si="11">SUM(P67:R67)</f>
        <v>15000</v>
      </c>
      <c r="T67" s="26">
        <f t="shared" ref="T67:T98" si="12">D67-S67</f>
        <v>40300.5</v>
      </c>
      <c r="U67" s="27" t="s">
        <v>339</v>
      </c>
      <c r="V67" s="28" t="s">
        <v>340</v>
      </c>
      <c r="W67" s="27" t="s">
        <v>341</v>
      </c>
      <c r="X67" s="27"/>
      <c r="Y67" s="7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5"/>
      <c r="FK67" s="25"/>
      <c r="FL67" s="25"/>
      <c r="FM67" s="25"/>
      <c r="FN67" s="25"/>
      <c r="FO67" s="25"/>
      <c r="FP67" s="25"/>
      <c r="FQ67" s="25"/>
      <c r="FR67" s="25"/>
      <c r="FS67" s="25"/>
      <c r="FT67" s="25"/>
      <c r="FU67" s="25"/>
      <c r="FV67" s="25"/>
      <c r="FW67" s="25"/>
      <c r="FX67" s="25"/>
      <c r="FY67" s="25"/>
      <c r="FZ67" s="25"/>
      <c r="GA67" s="25"/>
      <c r="GB67" s="25"/>
      <c r="GC67" s="25"/>
      <c r="GD67" s="25"/>
      <c r="GE67" s="25"/>
      <c r="GF67" s="25"/>
      <c r="GG67" s="25"/>
      <c r="GH67" s="25"/>
      <c r="GI67" s="25"/>
      <c r="GJ67" s="25"/>
      <c r="GK67" s="25"/>
      <c r="GL67" s="25"/>
      <c r="GM67" s="25"/>
      <c r="GN67" s="25"/>
      <c r="GO67" s="25"/>
      <c r="GP67" s="25"/>
    </row>
    <row r="68" spans="1:251" s="5" customFormat="1" ht="17.100000000000001" customHeight="1" x14ac:dyDescent="0.25">
      <c r="A68" s="14" t="s">
        <v>342</v>
      </c>
      <c r="B68" s="15">
        <v>0.247</v>
      </c>
      <c r="C68" s="16">
        <v>0.4</v>
      </c>
      <c r="D68" s="17">
        <v>3144</v>
      </c>
      <c r="E68" s="17">
        <v>0</v>
      </c>
      <c r="F68" s="17">
        <v>0</v>
      </c>
      <c r="G68" s="17">
        <v>0</v>
      </c>
      <c r="H68" s="17">
        <v>0</v>
      </c>
      <c r="I68" s="17">
        <v>3144</v>
      </c>
      <c r="J68" s="17">
        <v>0</v>
      </c>
      <c r="K68" s="17">
        <f t="shared" si="10"/>
        <v>0</v>
      </c>
      <c r="L68" s="17">
        <v>3144</v>
      </c>
      <c r="M68" s="17">
        <f t="shared" si="8"/>
        <v>3144</v>
      </c>
      <c r="N68" s="17">
        <v>0</v>
      </c>
      <c r="O68" s="17">
        <f t="shared" si="9"/>
        <v>3144</v>
      </c>
      <c r="P68" s="17">
        <v>0</v>
      </c>
      <c r="Q68" s="17">
        <v>3144</v>
      </c>
      <c r="R68" s="17">
        <v>0</v>
      </c>
      <c r="S68" s="17">
        <f t="shared" si="11"/>
        <v>3144</v>
      </c>
      <c r="T68" s="8">
        <f t="shared" si="12"/>
        <v>0</v>
      </c>
      <c r="U68" s="4" t="s">
        <v>343</v>
      </c>
      <c r="V68" s="18" t="s">
        <v>344</v>
      </c>
      <c r="W68" s="4" t="s">
        <v>345</v>
      </c>
      <c r="X68" s="4"/>
      <c r="Y68" s="3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</row>
    <row r="69" spans="1:251" s="29" customFormat="1" ht="21" customHeight="1" x14ac:dyDescent="0.25">
      <c r="A69" s="32" t="s">
        <v>346</v>
      </c>
      <c r="B69" s="32">
        <v>0.503</v>
      </c>
      <c r="C69" s="33">
        <v>0.19999999999999996</v>
      </c>
      <c r="D69" s="34">
        <v>3539</v>
      </c>
      <c r="E69" s="34">
        <v>0</v>
      </c>
      <c r="F69" s="34">
        <v>0</v>
      </c>
      <c r="G69" s="34">
        <v>0</v>
      </c>
      <c r="H69" s="34">
        <v>0</v>
      </c>
      <c r="I69" s="34">
        <v>3539</v>
      </c>
      <c r="J69" s="34">
        <v>0</v>
      </c>
      <c r="K69" s="34">
        <f t="shared" si="10"/>
        <v>0</v>
      </c>
      <c r="L69" s="34">
        <v>3539</v>
      </c>
      <c r="M69" s="34">
        <f t="shared" si="8"/>
        <v>3539</v>
      </c>
      <c r="N69" s="34">
        <v>0</v>
      </c>
      <c r="O69" s="34">
        <f t="shared" si="9"/>
        <v>3539</v>
      </c>
      <c r="P69" s="35">
        <f>17000*C69</f>
        <v>3399.9999999999991</v>
      </c>
      <c r="Q69" s="35">
        <v>0</v>
      </c>
      <c r="R69" s="35">
        <v>0</v>
      </c>
      <c r="S69" s="35">
        <f t="shared" si="11"/>
        <v>3399.9999999999991</v>
      </c>
      <c r="T69" s="26">
        <f t="shared" si="12"/>
        <v>139.00000000000091</v>
      </c>
      <c r="U69" s="27" t="s">
        <v>347</v>
      </c>
      <c r="V69" s="28" t="s">
        <v>348</v>
      </c>
      <c r="W69" s="27" t="s">
        <v>349</v>
      </c>
      <c r="X69" s="27"/>
      <c r="Y69" s="7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5"/>
      <c r="FK69" s="25"/>
      <c r="FL69" s="25"/>
      <c r="FM69" s="25"/>
      <c r="FN69" s="25"/>
      <c r="FO69" s="25"/>
      <c r="FP69" s="25"/>
      <c r="FQ69" s="25"/>
      <c r="FR69" s="25"/>
      <c r="FS69" s="25"/>
      <c r="FT69" s="25"/>
      <c r="FU69" s="25"/>
      <c r="FV69" s="25"/>
      <c r="FW69" s="25"/>
      <c r="FX69" s="25"/>
      <c r="FY69" s="25"/>
      <c r="FZ69" s="25"/>
      <c r="GA69" s="25"/>
      <c r="GB69" s="25"/>
      <c r="GC69" s="25"/>
      <c r="GD69" s="25"/>
      <c r="GE69" s="25"/>
      <c r="GF69" s="25"/>
      <c r="GG69" s="25"/>
      <c r="GH69" s="25"/>
      <c r="GI69" s="25"/>
      <c r="GJ69" s="25"/>
      <c r="GK69" s="25"/>
      <c r="GL69" s="25"/>
      <c r="GM69" s="25"/>
      <c r="GN69" s="25"/>
      <c r="GO69" s="25"/>
      <c r="GP69" s="25"/>
    </row>
    <row r="70" spans="1:251" s="5" customFormat="1" ht="17.100000000000001" customHeight="1" x14ac:dyDescent="0.25">
      <c r="A70" s="14" t="s">
        <v>139</v>
      </c>
      <c r="B70" s="15"/>
      <c r="C70" s="16">
        <v>0.19999999999999996</v>
      </c>
      <c r="D70" s="17">
        <v>7500</v>
      </c>
      <c r="E70" s="17">
        <v>9582.23</v>
      </c>
      <c r="F70" s="17">
        <v>11977.787499999999</v>
      </c>
      <c r="G70" s="17">
        <v>9582.23</v>
      </c>
      <c r="H70" s="17">
        <v>2395.557499999999</v>
      </c>
      <c r="I70" s="17">
        <v>5104.442500000001</v>
      </c>
      <c r="J70" s="17">
        <v>11977</v>
      </c>
      <c r="K70" s="17">
        <f t="shared" si="10"/>
        <v>2395.3999999999996</v>
      </c>
      <c r="L70" s="17">
        <v>0</v>
      </c>
      <c r="M70" s="17">
        <f t="shared" si="8"/>
        <v>2395.3999999999996</v>
      </c>
      <c r="N70" s="17">
        <v>3000</v>
      </c>
      <c r="O70" s="17">
        <f t="shared" si="9"/>
        <v>5395.4</v>
      </c>
      <c r="P70" s="17">
        <f>11977*C70</f>
        <v>2395.3999999999996</v>
      </c>
      <c r="Q70" s="17">
        <v>0</v>
      </c>
      <c r="R70" s="17">
        <v>3000</v>
      </c>
      <c r="S70" s="17">
        <f t="shared" si="11"/>
        <v>5395.4</v>
      </c>
      <c r="T70" s="8">
        <f t="shared" si="12"/>
        <v>2104.6000000000004</v>
      </c>
      <c r="U70" s="4" t="s">
        <v>140</v>
      </c>
      <c r="V70" s="18" t="s">
        <v>141</v>
      </c>
      <c r="W70" s="4" t="s">
        <v>142</v>
      </c>
      <c r="X70" s="4"/>
      <c r="Y70" s="3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</row>
    <row r="71" spans="1:251" s="29" customFormat="1" ht="21" customHeight="1" x14ac:dyDescent="0.25">
      <c r="A71" s="32" t="s">
        <v>350</v>
      </c>
      <c r="B71" s="32">
        <v>0.35</v>
      </c>
      <c r="C71" s="33">
        <v>0.30000000000000004</v>
      </c>
      <c r="D71" s="34">
        <v>10385.099999999999</v>
      </c>
      <c r="E71" s="34">
        <v>6300</v>
      </c>
      <c r="F71" s="34">
        <v>9000</v>
      </c>
      <c r="G71" s="34">
        <v>6300</v>
      </c>
      <c r="H71" s="34">
        <v>2700.0000000000005</v>
      </c>
      <c r="I71" s="34">
        <v>7685.0999999999985</v>
      </c>
      <c r="J71" s="34">
        <v>9000</v>
      </c>
      <c r="K71" s="34">
        <f t="shared" si="10"/>
        <v>2700.0000000000005</v>
      </c>
      <c r="L71" s="34">
        <v>2545</v>
      </c>
      <c r="M71" s="34">
        <f t="shared" si="8"/>
        <v>5245</v>
      </c>
      <c r="N71" s="34">
        <v>4300</v>
      </c>
      <c r="O71" s="34">
        <f t="shared" si="9"/>
        <v>9545</v>
      </c>
      <c r="P71" s="35">
        <f>9000*C71</f>
        <v>2700.0000000000005</v>
      </c>
      <c r="Q71" s="35">
        <f>2665-120</f>
        <v>2545</v>
      </c>
      <c r="R71" s="35">
        <v>4300</v>
      </c>
      <c r="S71" s="35">
        <f t="shared" si="11"/>
        <v>9545</v>
      </c>
      <c r="T71" s="26">
        <f t="shared" si="12"/>
        <v>840.09999999999854</v>
      </c>
      <c r="U71" s="27" t="s">
        <v>351</v>
      </c>
      <c r="V71" s="28" t="s">
        <v>352</v>
      </c>
      <c r="W71" s="27" t="s">
        <v>353</v>
      </c>
      <c r="X71" s="27"/>
      <c r="Y71" s="7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  <c r="FJ71" s="25"/>
      <c r="FK71" s="25"/>
      <c r="FL71" s="25"/>
      <c r="FM71" s="25"/>
      <c r="FN71" s="25"/>
      <c r="FO71" s="25"/>
      <c r="FP71" s="25"/>
      <c r="FQ71" s="25"/>
      <c r="FR71" s="25"/>
      <c r="FS71" s="25"/>
      <c r="FT71" s="25"/>
      <c r="FU71" s="25"/>
      <c r="FV71" s="25"/>
      <c r="FW71" s="25"/>
      <c r="FX71" s="25"/>
      <c r="FY71" s="25"/>
      <c r="FZ71" s="25"/>
      <c r="GA71" s="25"/>
      <c r="GB71" s="25"/>
      <c r="GC71" s="25"/>
      <c r="GD71" s="25"/>
      <c r="GE71" s="25"/>
      <c r="GF71" s="25"/>
      <c r="GG71" s="25"/>
      <c r="GH71" s="25"/>
      <c r="GI71" s="25"/>
      <c r="GJ71" s="25"/>
      <c r="GK71" s="25"/>
      <c r="GL71" s="25"/>
      <c r="GM71" s="25"/>
      <c r="GN71" s="25"/>
      <c r="GO71" s="25"/>
      <c r="GP71" s="25"/>
    </row>
    <row r="72" spans="1:251" s="5" customFormat="1" ht="17.100000000000001" customHeight="1" x14ac:dyDescent="0.25">
      <c r="A72" s="14" t="s">
        <v>143</v>
      </c>
      <c r="B72" s="15"/>
      <c r="C72" s="16">
        <v>0.30000000000000004</v>
      </c>
      <c r="D72" s="17">
        <v>9698</v>
      </c>
      <c r="E72" s="17">
        <v>9582.23</v>
      </c>
      <c r="F72" s="17">
        <v>13688.9</v>
      </c>
      <c r="G72" s="17">
        <v>9582.23</v>
      </c>
      <c r="H72" s="17">
        <v>4106.67</v>
      </c>
      <c r="I72" s="17">
        <v>5591.33</v>
      </c>
      <c r="J72" s="17">
        <f>9853</f>
        <v>9853</v>
      </c>
      <c r="K72" s="17">
        <f t="shared" si="10"/>
        <v>2955.9000000000005</v>
      </c>
      <c r="L72" s="17">
        <v>0</v>
      </c>
      <c r="M72" s="17">
        <f t="shared" si="8"/>
        <v>2955.9000000000005</v>
      </c>
      <c r="N72" s="17">
        <v>0</v>
      </c>
      <c r="O72" s="17">
        <f t="shared" si="9"/>
        <v>2955.9000000000005</v>
      </c>
      <c r="P72" s="17">
        <f>9853*C72</f>
        <v>2955.9000000000005</v>
      </c>
      <c r="Q72" s="17">
        <v>0</v>
      </c>
      <c r="R72" s="17">
        <v>0</v>
      </c>
      <c r="S72" s="17">
        <f t="shared" si="11"/>
        <v>2955.9000000000005</v>
      </c>
      <c r="T72" s="8">
        <f t="shared" si="12"/>
        <v>6742.0999999999995</v>
      </c>
      <c r="U72" s="4" t="s">
        <v>144</v>
      </c>
      <c r="V72" s="18" t="s">
        <v>145</v>
      </c>
      <c r="W72" s="4" t="s">
        <v>146</v>
      </c>
      <c r="X72" s="4"/>
      <c r="Y72" s="3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</row>
    <row r="73" spans="1:251" s="29" customFormat="1" ht="21" customHeight="1" x14ac:dyDescent="0.25">
      <c r="A73" s="32" t="s">
        <v>354</v>
      </c>
      <c r="B73" s="32">
        <v>0.35599999999999998</v>
      </c>
      <c r="C73" s="33">
        <v>0.30000000000000004</v>
      </c>
      <c r="D73" s="34">
        <v>2600</v>
      </c>
      <c r="E73" s="34">
        <v>140</v>
      </c>
      <c r="F73" s="34">
        <v>200</v>
      </c>
      <c r="G73" s="34">
        <v>140</v>
      </c>
      <c r="H73" s="34">
        <v>60.000000000000007</v>
      </c>
      <c r="I73" s="34">
        <v>2540</v>
      </c>
      <c r="J73" s="34">
        <v>200</v>
      </c>
      <c r="K73" s="34">
        <f t="shared" si="10"/>
        <v>60.000000000000007</v>
      </c>
      <c r="L73" s="34">
        <v>2540</v>
      </c>
      <c r="M73" s="34">
        <f t="shared" si="8"/>
        <v>2600</v>
      </c>
      <c r="N73" s="34">
        <v>0</v>
      </c>
      <c r="O73" s="34">
        <f t="shared" si="9"/>
        <v>2600</v>
      </c>
      <c r="P73" s="35">
        <f>200*C73</f>
        <v>60.000000000000007</v>
      </c>
      <c r="Q73" s="35">
        <v>2540</v>
      </c>
      <c r="R73" s="35">
        <v>0</v>
      </c>
      <c r="S73" s="35">
        <f t="shared" si="11"/>
        <v>2600</v>
      </c>
      <c r="T73" s="26">
        <f t="shared" si="12"/>
        <v>0</v>
      </c>
      <c r="U73" s="27" t="s">
        <v>355</v>
      </c>
      <c r="V73" s="28" t="s">
        <v>356</v>
      </c>
      <c r="W73" s="27" t="s">
        <v>357</v>
      </c>
      <c r="X73" s="27"/>
      <c r="Y73" s="7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/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/>
      <c r="EY73" s="25"/>
      <c r="EZ73" s="25"/>
      <c r="FA73" s="25"/>
      <c r="FB73" s="25"/>
      <c r="FC73" s="25"/>
      <c r="FD73" s="25"/>
      <c r="FE73" s="25"/>
      <c r="FF73" s="25"/>
      <c r="FG73" s="25"/>
      <c r="FH73" s="25"/>
      <c r="FI73" s="25"/>
      <c r="FJ73" s="25"/>
      <c r="FK73" s="25"/>
      <c r="FL73" s="25"/>
      <c r="FM73" s="25"/>
      <c r="FN73" s="25"/>
      <c r="FO73" s="25"/>
      <c r="FP73" s="25"/>
      <c r="FQ73" s="25"/>
      <c r="FR73" s="25"/>
      <c r="FS73" s="25"/>
      <c r="FT73" s="25"/>
      <c r="FU73" s="25"/>
      <c r="FV73" s="25"/>
      <c r="FW73" s="25"/>
      <c r="FX73" s="25"/>
      <c r="FY73" s="25"/>
      <c r="FZ73" s="25"/>
      <c r="GA73" s="25"/>
      <c r="GB73" s="25"/>
      <c r="GC73" s="25"/>
      <c r="GD73" s="25"/>
      <c r="GE73" s="25"/>
      <c r="GF73" s="25"/>
      <c r="GG73" s="25"/>
      <c r="GH73" s="25"/>
      <c r="GI73" s="25"/>
      <c r="GJ73" s="25"/>
      <c r="GK73" s="25"/>
      <c r="GL73" s="25"/>
      <c r="GM73" s="25"/>
      <c r="GN73" s="25"/>
      <c r="GO73" s="25"/>
      <c r="GP73" s="25"/>
    </row>
    <row r="74" spans="1:251" s="5" customFormat="1" ht="17.100000000000001" customHeight="1" x14ac:dyDescent="0.25">
      <c r="A74" s="14" t="s">
        <v>147</v>
      </c>
      <c r="B74" s="15"/>
      <c r="C74" s="16">
        <v>0.4</v>
      </c>
      <c r="D74" s="17">
        <v>7500</v>
      </c>
      <c r="E74" s="17">
        <v>9582.23</v>
      </c>
      <c r="F74" s="17">
        <v>15970.383333333333</v>
      </c>
      <c r="G74" s="17">
        <v>9582.23</v>
      </c>
      <c r="H74" s="17">
        <v>6388.1533333333336</v>
      </c>
      <c r="I74" s="17">
        <v>1111.8466666666664</v>
      </c>
      <c r="J74" s="17">
        <v>9412</v>
      </c>
      <c r="K74" s="17">
        <f t="shared" si="10"/>
        <v>3764.8</v>
      </c>
      <c r="L74" s="17">
        <v>0</v>
      </c>
      <c r="M74" s="17">
        <f t="shared" si="8"/>
        <v>3764.8</v>
      </c>
      <c r="N74" s="17">
        <v>0</v>
      </c>
      <c r="O74" s="17">
        <f t="shared" si="9"/>
        <v>3764.8</v>
      </c>
      <c r="P74" s="17">
        <f>(5343+4069)*C74</f>
        <v>3764.8</v>
      </c>
      <c r="Q74" s="17">
        <v>0</v>
      </c>
      <c r="R74" s="17">
        <v>0</v>
      </c>
      <c r="S74" s="17">
        <f t="shared" si="11"/>
        <v>3764.8</v>
      </c>
      <c r="T74" s="8">
        <f t="shared" si="12"/>
        <v>3735.2</v>
      </c>
      <c r="U74" s="4" t="s">
        <v>20</v>
      </c>
      <c r="V74" s="18" t="s">
        <v>21</v>
      </c>
      <c r="W74" s="4" t="s">
        <v>148</v>
      </c>
      <c r="X74" s="4"/>
      <c r="Y74" s="3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</row>
    <row r="75" spans="1:251" s="29" customFormat="1" ht="21" customHeight="1" x14ac:dyDescent="0.25">
      <c r="A75" s="32" t="s">
        <v>149</v>
      </c>
      <c r="B75" s="32"/>
      <c r="C75" s="33">
        <v>0.19999999999999996</v>
      </c>
      <c r="D75" s="34">
        <v>7298</v>
      </c>
      <c r="E75" s="34">
        <v>11498.67</v>
      </c>
      <c r="F75" s="34">
        <v>14373.3375</v>
      </c>
      <c r="G75" s="34">
        <v>11498.67</v>
      </c>
      <c r="H75" s="34">
        <v>2874.6674999999991</v>
      </c>
      <c r="I75" s="34">
        <v>4423.3325000000004</v>
      </c>
      <c r="J75" s="34">
        <v>925</v>
      </c>
      <c r="K75" s="34">
        <f t="shared" si="10"/>
        <v>184.99999999999997</v>
      </c>
      <c r="L75" s="34">
        <v>0</v>
      </c>
      <c r="M75" s="34">
        <f t="shared" si="8"/>
        <v>184.99999999999997</v>
      </c>
      <c r="N75" s="34">
        <v>0</v>
      </c>
      <c r="O75" s="34">
        <f t="shared" si="9"/>
        <v>184.99999999999997</v>
      </c>
      <c r="P75" s="35">
        <f>925*C75</f>
        <v>184.99999999999997</v>
      </c>
      <c r="Q75" s="35">
        <v>0</v>
      </c>
      <c r="R75" s="35">
        <v>0</v>
      </c>
      <c r="S75" s="35">
        <f t="shared" si="11"/>
        <v>184.99999999999997</v>
      </c>
      <c r="T75" s="26">
        <f t="shared" si="12"/>
        <v>7113</v>
      </c>
      <c r="U75" s="27" t="s">
        <v>150</v>
      </c>
      <c r="V75" s="28" t="s">
        <v>151</v>
      </c>
      <c r="W75" s="27" t="s">
        <v>152</v>
      </c>
      <c r="X75" s="27"/>
      <c r="Y75" s="7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  <c r="FJ75" s="25"/>
      <c r="FK75" s="25"/>
      <c r="FL75" s="25"/>
      <c r="FM75" s="25"/>
      <c r="FN75" s="25"/>
      <c r="FO75" s="25"/>
      <c r="FP75" s="25"/>
      <c r="FQ75" s="25"/>
      <c r="FR75" s="25"/>
      <c r="FS75" s="25"/>
      <c r="FT75" s="25"/>
      <c r="FU75" s="25"/>
      <c r="FV75" s="25"/>
      <c r="FW75" s="25"/>
      <c r="FX75" s="25"/>
      <c r="FY75" s="25"/>
      <c r="FZ75" s="25"/>
      <c r="GA75" s="25"/>
      <c r="GB75" s="25"/>
      <c r="GC75" s="25"/>
      <c r="GD75" s="25"/>
      <c r="GE75" s="25"/>
      <c r="GF75" s="25"/>
      <c r="GG75" s="25"/>
      <c r="GH75" s="25"/>
      <c r="GI75" s="25"/>
      <c r="GJ75" s="25"/>
      <c r="GK75" s="25"/>
      <c r="GL75" s="25"/>
      <c r="GM75" s="25"/>
      <c r="GN75" s="25"/>
      <c r="GO75" s="25"/>
      <c r="GP75" s="25"/>
    </row>
    <row r="76" spans="1:251" s="5" customFormat="1" ht="17.100000000000001" customHeight="1" x14ac:dyDescent="0.25">
      <c r="A76" s="14" t="s">
        <v>358</v>
      </c>
      <c r="B76" s="15">
        <v>0.39700000000000002</v>
      </c>
      <c r="C76" s="16">
        <v>0.30000000000000004</v>
      </c>
      <c r="D76" s="17">
        <v>460</v>
      </c>
      <c r="E76" s="17">
        <v>0</v>
      </c>
      <c r="F76" s="17">
        <v>0</v>
      </c>
      <c r="G76" s="17">
        <v>0</v>
      </c>
      <c r="H76" s="17">
        <v>0</v>
      </c>
      <c r="I76" s="17">
        <v>460</v>
      </c>
      <c r="J76" s="17">
        <v>0</v>
      </c>
      <c r="K76" s="17">
        <f t="shared" si="10"/>
        <v>0</v>
      </c>
      <c r="L76" s="17">
        <v>460</v>
      </c>
      <c r="M76" s="17">
        <f t="shared" si="8"/>
        <v>460</v>
      </c>
      <c r="N76" s="17">
        <v>0</v>
      </c>
      <c r="O76" s="17">
        <f t="shared" si="9"/>
        <v>460</v>
      </c>
      <c r="P76" s="17">
        <v>0</v>
      </c>
      <c r="Q76" s="17">
        <v>460</v>
      </c>
      <c r="R76" s="17">
        <v>0</v>
      </c>
      <c r="S76" s="17">
        <f t="shared" si="11"/>
        <v>460</v>
      </c>
      <c r="T76" s="8">
        <f t="shared" si="12"/>
        <v>0</v>
      </c>
      <c r="U76" s="4" t="s">
        <v>359</v>
      </c>
      <c r="V76" s="18" t="s">
        <v>360</v>
      </c>
      <c r="W76" s="4" t="s">
        <v>361</v>
      </c>
      <c r="X76" s="4"/>
      <c r="Y76" s="3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</row>
    <row r="77" spans="1:251" s="29" customFormat="1" ht="21" customHeight="1" x14ac:dyDescent="0.25">
      <c r="A77" s="32" t="s">
        <v>153</v>
      </c>
      <c r="B77" s="32"/>
      <c r="C77" s="33">
        <v>0.4</v>
      </c>
      <c r="D77" s="34">
        <v>10000</v>
      </c>
      <c r="E77" s="34">
        <v>6013.42</v>
      </c>
      <c r="F77" s="34">
        <v>10022.366666666667</v>
      </c>
      <c r="G77" s="34">
        <v>6013.42</v>
      </c>
      <c r="H77" s="34">
        <v>4008.9466666666667</v>
      </c>
      <c r="I77" s="34">
        <v>5991.0533333333333</v>
      </c>
      <c r="J77" s="34">
        <v>4549</v>
      </c>
      <c r="K77" s="34">
        <f t="shared" si="10"/>
        <v>1819.6000000000001</v>
      </c>
      <c r="L77" s="34">
        <v>0</v>
      </c>
      <c r="M77" s="34">
        <f t="shared" si="8"/>
        <v>1819.6000000000001</v>
      </c>
      <c r="N77" s="34">
        <v>0</v>
      </c>
      <c r="O77" s="34">
        <f t="shared" si="9"/>
        <v>1819.6000000000001</v>
      </c>
      <c r="P77" s="35">
        <f>4549*C77</f>
        <v>1819.6000000000001</v>
      </c>
      <c r="Q77" s="35">
        <v>0</v>
      </c>
      <c r="R77" s="35">
        <v>0</v>
      </c>
      <c r="S77" s="35">
        <f t="shared" si="11"/>
        <v>1819.6000000000001</v>
      </c>
      <c r="T77" s="26">
        <f t="shared" si="12"/>
        <v>8180.4</v>
      </c>
      <c r="U77" s="27" t="s">
        <v>20</v>
      </c>
      <c r="V77" s="28" t="s">
        <v>21</v>
      </c>
      <c r="W77" s="27" t="s">
        <v>154</v>
      </c>
      <c r="X77" s="27"/>
      <c r="Y77" s="7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/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/>
      <c r="EY77" s="25"/>
      <c r="EZ77" s="25"/>
      <c r="FA77" s="25"/>
      <c r="FB77" s="25"/>
      <c r="FC77" s="25"/>
      <c r="FD77" s="25"/>
      <c r="FE77" s="25"/>
      <c r="FF77" s="25"/>
      <c r="FG77" s="25"/>
      <c r="FH77" s="25"/>
      <c r="FI77" s="25"/>
      <c r="FJ77" s="25"/>
      <c r="FK77" s="25"/>
      <c r="FL77" s="25"/>
      <c r="FM77" s="25"/>
      <c r="FN77" s="25"/>
      <c r="FO77" s="25"/>
      <c r="FP77" s="25"/>
      <c r="FQ77" s="25"/>
      <c r="FR77" s="25"/>
      <c r="FS77" s="25"/>
      <c r="FT77" s="25"/>
      <c r="FU77" s="25"/>
      <c r="FV77" s="25"/>
      <c r="FW77" s="25"/>
      <c r="FX77" s="25"/>
      <c r="FY77" s="25"/>
      <c r="FZ77" s="25"/>
      <c r="GA77" s="25"/>
      <c r="GB77" s="25"/>
      <c r="GC77" s="25"/>
      <c r="GD77" s="25"/>
      <c r="GE77" s="25"/>
      <c r="GF77" s="25"/>
      <c r="GG77" s="25"/>
      <c r="GH77" s="25"/>
      <c r="GI77" s="25"/>
      <c r="GJ77" s="25"/>
      <c r="GK77" s="25"/>
      <c r="GL77" s="25"/>
      <c r="GM77" s="25"/>
      <c r="GN77" s="25"/>
      <c r="GO77" s="25"/>
      <c r="GP77" s="25"/>
    </row>
    <row r="78" spans="1:251" s="5" customFormat="1" ht="17.100000000000001" customHeight="1" x14ac:dyDescent="0.25">
      <c r="A78" s="14" t="s">
        <v>155</v>
      </c>
      <c r="B78" s="15"/>
      <c r="C78" s="16">
        <v>0.30000000000000004</v>
      </c>
      <c r="D78" s="17">
        <v>9698</v>
      </c>
      <c r="E78" s="17">
        <v>11426.8</v>
      </c>
      <c r="F78" s="17">
        <v>16324</v>
      </c>
      <c r="G78" s="17">
        <v>11426.8</v>
      </c>
      <c r="H78" s="17">
        <v>4897.2000000000007</v>
      </c>
      <c r="I78" s="17">
        <v>4800.7999999999993</v>
      </c>
      <c r="J78" s="17">
        <v>9708</v>
      </c>
      <c r="K78" s="17">
        <f t="shared" si="10"/>
        <v>2912.4000000000005</v>
      </c>
      <c r="L78" s="17">
        <v>0</v>
      </c>
      <c r="M78" s="17">
        <f t="shared" si="8"/>
        <v>2912.4000000000005</v>
      </c>
      <c r="N78" s="17">
        <v>0</v>
      </c>
      <c r="O78" s="17">
        <f t="shared" si="9"/>
        <v>2912.4000000000005</v>
      </c>
      <c r="P78" s="17">
        <f>9708*C78</f>
        <v>2912.4000000000005</v>
      </c>
      <c r="Q78" s="17">
        <v>0</v>
      </c>
      <c r="R78" s="17">
        <v>0</v>
      </c>
      <c r="S78" s="17">
        <f t="shared" si="11"/>
        <v>2912.4000000000005</v>
      </c>
      <c r="T78" s="8">
        <f t="shared" si="12"/>
        <v>6785.5999999999995</v>
      </c>
      <c r="U78" s="4" t="s">
        <v>156</v>
      </c>
      <c r="V78" s="18" t="s">
        <v>157</v>
      </c>
      <c r="W78" s="4" t="s">
        <v>158</v>
      </c>
      <c r="X78" s="4"/>
      <c r="Y78" s="3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</row>
    <row r="79" spans="1:251" s="29" customFormat="1" ht="21" customHeight="1" x14ac:dyDescent="0.25">
      <c r="A79" s="32" t="s">
        <v>362</v>
      </c>
      <c r="B79" s="32">
        <v>0.33700000000000002</v>
      </c>
      <c r="C79" s="33">
        <v>0.30000000000000004</v>
      </c>
      <c r="D79" s="34">
        <v>60000</v>
      </c>
      <c r="E79" s="34">
        <v>42700</v>
      </c>
      <c r="F79" s="34">
        <v>61000.000000000007</v>
      </c>
      <c r="G79" s="34">
        <v>42700</v>
      </c>
      <c r="H79" s="34">
        <v>18300.000000000004</v>
      </c>
      <c r="I79" s="34">
        <v>41700</v>
      </c>
      <c r="J79" s="34">
        <v>2200</v>
      </c>
      <c r="K79" s="34">
        <f t="shared" si="10"/>
        <v>660.00000000000011</v>
      </c>
      <c r="L79" s="34">
        <v>0</v>
      </c>
      <c r="M79" s="34">
        <f t="shared" si="8"/>
        <v>660.00000000000011</v>
      </c>
      <c r="N79" s="34">
        <v>58750</v>
      </c>
      <c r="O79" s="34">
        <f t="shared" si="9"/>
        <v>59410</v>
      </c>
      <c r="P79" s="35">
        <f>2200*C79</f>
        <v>660.00000000000011</v>
      </c>
      <c r="Q79" s="35">
        <v>0</v>
      </c>
      <c r="R79" s="35">
        <v>56090</v>
      </c>
      <c r="S79" s="35">
        <f t="shared" si="11"/>
        <v>56750</v>
      </c>
      <c r="T79" s="26">
        <f t="shared" si="12"/>
        <v>3250</v>
      </c>
      <c r="U79" s="27" t="s">
        <v>363</v>
      </c>
      <c r="V79" s="28" t="s">
        <v>364</v>
      </c>
      <c r="W79" s="27" t="s">
        <v>365</v>
      </c>
      <c r="X79" s="27"/>
      <c r="Y79" s="7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  <c r="DW79" s="25"/>
      <c r="DX79" s="25"/>
      <c r="DY79" s="25"/>
      <c r="DZ79" s="25"/>
      <c r="EA79" s="25"/>
      <c r="EB79" s="25"/>
      <c r="EC79" s="25"/>
      <c r="ED79" s="25"/>
      <c r="EE79" s="25"/>
      <c r="EF79" s="25"/>
      <c r="EG79" s="25"/>
      <c r="EH79" s="25"/>
      <c r="EI79" s="25"/>
      <c r="EJ79" s="25"/>
      <c r="EK79" s="25"/>
      <c r="EL79" s="25"/>
      <c r="EM79" s="25"/>
      <c r="EN79" s="25"/>
      <c r="EO79" s="25"/>
      <c r="EP79" s="25"/>
      <c r="EQ79" s="25"/>
      <c r="ER79" s="25"/>
      <c r="ES79" s="25"/>
      <c r="ET79" s="25"/>
      <c r="EU79" s="25"/>
      <c r="EV79" s="25"/>
      <c r="EW79" s="25"/>
      <c r="EX79" s="25"/>
      <c r="EY79" s="25"/>
      <c r="EZ79" s="25"/>
      <c r="FA79" s="25"/>
      <c r="FB79" s="25"/>
      <c r="FC79" s="25"/>
      <c r="FD79" s="25"/>
      <c r="FE79" s="25"/>
      <c r="FF79" s="25"/>
      <c r="FG79" s="25"/>
      <c r="FH79" s="25"/>
      <c r="FI79" s="25"/>
      <c r="FJ79" s="25"/>
      <c r="FK79" s="25"/>
      <c r="FL79" s="25"/>
      <c r="FM79" s="25"/>
      <c r="FN79" s="25"/>
      <c r="FO79" s="25"/>
      <c r="FP79" s="25"/>
      <c r="FQ79" s="25"/>
      <c r="FR79" s="25"/>
      <c r="FS79" s="25"/>
      <c r="FT79" s="25"/>
      <c r="FU79" s="25"/>
      <c r="FV79" s="25"/>
      <c r="FW79" s="25"/>
      <c r="FX79" s="25"/>
      <c r="FY79" s="25"/>
      <c r="FZ79" s="25"/>
      <c r="GA79" s="25"/>
      <c r="GB79" s="25"/>
      <c r="GC79" s="25"/>
      <c r="GD79" s="25"/>
      <c r="GE79" s="25"/>
      <c r="GF79" s="25"/>
      <c r="GG79" s="25"/>
      <c r="GH79" s="25"/>
      <c r="GI79" s="25"/>
      <c r="GJ79" s="25"/>
      <c r="GK79" s="25"/>
      <c r="GL79" s="25"/>
      <c r="GM79" s="25"/>
      <c r="GN79" s="25"/>
      <c r="GO79" s="25"/>
      <c r="GP79" s="25"/>
    </row>
    <row r="80" spans="1:251" s="5" customFormat="1" ht="17.100000000000001" customHeight="1" x14ac:dyDescent="0.25">
      <c r="A80" s="14" t="s">
        <v>366</v>
      </c>
      <c r="B80" s="15">
        <v>0.36399999999999999</v>
      </c>
      <c r="C80" s="16">
        <v>0.30000000000000004</v>
      </c>
      <c r="D80" s="17">
        <v>7073.5999999999913</v>
      </c>
      <c r="E80" s="17">
        <v>7700</v>
      </c>
      <c r="F80" s="17">
        <v>11000</v>
      </c>
      <c r="G80" s="17">
        <v>7699.9999999999991</v>
      </c>
      <c r="H80" s="17">
        <v>3300.0000000000005</v>
      </c>
      <c r="I80" s="17">
        <v>3773.5999999999908</v>
      </c>
      <c r="J80" s="17">
        <f>11000</f>
        <v>11000</v>
      </c>
      <c r="K80" s="17">
        <f t="shared" si="10"/>
        <v>3300.0000000000005</v>
      </c>
      <c r="L80" s="17">
        <v>3774</v>
      </c>
      <c r="M80" s="17">
        <f t="shared" si="8"/>
        <v>7074</v>
      </c>
      <c r="N80" s="17">
        <v>0</v>
      </c>
      <c r="O80" s="17">
        <f t="shared" si="9"/>
        <v>7074</v>
      </c>
      <c r="P80" s="17">
        <f>11000*C80</f>
        <v>3300.0000000000005</v>
      </c>
      <c r="Q80" s="17">
        <v>3773</v>
      </c>
      <c r="R80" s="17">
        <v>0</v>
      </c>
      <c r="S80" s="17">
        <f t="shared" si="11"/>
        <v>7073</v>
      </c>
      <c r="T80" s="8">
        <f t="shared" si="12"/>
        <v>0.59999999999126885</v>
      </c>
      <c r="U80" s="4" t="s">
        <v>367</v>
      </c>
      <c r="V80" s="18" t="s">
        <v>368</v>
      </c>
      <c r="W80" s="4" t="s">
        <v>369</v>
      </c>
      <c r="X80" s="4" t="s">
        <v>280</v>
      </c>
      <c r="Y80" s="3" t="s">
        <v>446</v>
      </c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</row>
    <row r="81" spans="1:251" s="29" customFormat="1" ht="21" customHeight="1" x14ac:dyDescent="0.25">
      <c r="A81" s="32" t="s">
        <v>159</v>
      </c>
      <c r="B81" s="32"/>
      <c r="C81" s="33">
        <v>0.19999999999999996</v>
      </c>
      <c r="D81" s="34">
        <v>4798</v>
      </c>
      <c r="E81" s="34">
        <v>9582.23</v>
      </c>
      <c r="F81" s="34">
        <v>11977.787499999999</v>
      </c>
      <c r="G81" s="34">
        <v>9582.23</v>
      </c>
      <c r="H81" s="34">
        <v>2395.557499999999</v>
      </c>
      <c r="I81" s="34">
        <v>2402.442500000001</v>
      </c>
      <c r="J81" s="34">
        <v>889</v>
      </c>
      <c r="K81" s="34">
        <f t="shared" si="10"/>
        <v>177.79999999999995</v>
      </c>
      <c r="L81" s="34">
        <v>0</v>
      </c>
      <c r="M81" s="34">
        <f t="shared" si="8"/>
        <v>177.79999999999995</v>
      </c>
      <c r="N81" s="34">
        <v>0</v>
      </c>
      <c r="O81" s="34">
        <f t="shared" si="9"/>
        <v>177.79999999999995</v>
      </c>
      <c r="P81" s="35">
        <f>889*C81</f>
        <v>177.79999999999995</v>
      </c>
      <c r="Q81" s="35">
        <v>0</v>
      </c>
      <c r="R81" s="35">
        <v>0</v>
      </c>
      <c r="S81" s="35">
        <f t="shared" si="11"/>
        <v>177.79999999999995</v>
      </c>
      <c r="T81" s="26">
        <f t="shared" si="12"/>
        <v>4620.2</v>
      </c>
      <c r="U81" s="27" t="s">
        <v>160</v>
      </c>
      <c r="V81" s="28" t="s">
        <v>161</v>
      </c>
      <c r="W81" s="27" t="s">
        <v>162</v>
      </c>
      <c r="X81" s="27"/>
      <c r="Y81" s="7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/>
      <c r="DY81" s="25"/>
      <c r="DZ81" s="25"/>
      <c r="EA81" s="25"/>
      <c r="EB81" s="25"/>
      <c r="EC81" s="25"/>
      <c r="ED81" s="25"/>
      <c r="EE81" s="25"/>
      <c r="EF81" s="25"/>
      <c r="EG81" s="25"/>
      <c r="EH81" s="25"/>
      <c r="EI81" s="25"/>
      <c r="EJ81" s="25"/>
      <c r="EK81" s="25"/>
      <c r="EL81" s="25"/>
      <c r="EM81" s="25"/>
      <c r="EN81" s="25"/>
      <c r="EO81" s="25"/>
      <c r="EP81" s="25"/>
      <c r="EQ81" s="25"/>
      <c r="ER81" s="25"/>
      <c r="ES81" s="25"/>
      <c r="ET81" s="25"/>
      <c r="EU81" s="25"/>
      <c r="EV81" s="25"/>
      <c r="EW81" s="25"/>
      <c r="EX81" s="25"/>
      <c r="EY81" s="25"/>
      <c r="EZ81" s="25"/>
      <c r="FA81" s="25"/>
      <c r="FB81" s="25"/>
      <c r="FC81" s="25"/>
      <c r="FD81" s="25"/>
      <c r="FE81" s="25"/>
      <c r="FF81" s="25"/>
      <c r="FG81" s="25"/>
      <c r="FH81" s="25"/>
      <c r="FI81" s="25"/>
      <c r="FJ81" s="25"/>
      <c r="FK81" s="25"/>
      <c r="FL81" s="25"/>
      <c r="FM81" s="25"/>
      <c r="FN81" s="25"/>
      <c r="FO81" s="25"/>
      <c r="FP81" s="25"/>
      <c r="FQ81" s="25"/>
      <c r="FR81" s="25"/>
      <c r="FS81" s="25"/>
      <c r="FT81" s="25"/>
      <c r="FU81" s="25"/>
      <c r="FV81" s="25"/>
      <c r="FW81" s="25"/>
      <c r="FX81" s="25"/>
      <c r="FY81" s="25"/>
      <c r="FZ81" s="25"/>
      <c r="GA81" s="25"/>
      <c r="GB81" s="25"/>
      <c r="GC81" s="25"/>
      <c r="GD81" s="25"/>
      <c r="GE81" s="25"/>
      <c r="GF81" s="25"/>
      <c r="GG81" s="25"/>
      <c r="GH81" s="25"/>
      <c r="GI81" s="25"/>
      <c r="GJ81" s="25"/>
      <c r="GK81" s="25"/>
      <c r="GL81" s="25"/>
      <c r="GM81" s="25"/>
      <c r="GN81" s="25"/>
      <c r="GO81" s="25"/>
      <c r="GP81" s="25"/>
    </row>
    <row r="82" spans="1:251" s="5" customFormat="1" ht="17.100000000000001" customHeight="1" x14ac:dyDescent="0.25">
      <c r="A82" s="14" t="s">
        <v>370</v>
      </c>
      <c r="B82" s="15">
        <v>0.14599999999999999</v>
      </c>
      <c r="C82" s="16">
        <v>0.5</v>
      </c>
      <c r="D82" s="17">
        <v>25010</v>
      </c>
      <c r="E82" s="17">
        <v>7000</v>
      </c>
      <c r="F82" s="17">
        <v>14000</v>
      </c>
      <c r="G82" s="17">
        <v>7000</v>
      </c>
      <c r="H82" s="17">
        <v>7000</v>
      </c>
      <c r="I82" s="17">
        <v>18010</v>
      </c>
      <c r="J82" s="17">
        <v>1910</v>
      </c>
      <c r="K82" s="17">
        <f t="shared" si="10"/>
        <v>955</v>
      </c>
      <c r="L82" s="17">
        <v>0</v>
      </c>
      <c r="M82" s="17">
        <f t="shared" si="8"/>
        <v>955</v>
      </c>
      <c r="N82" s="17">
        <v>0</v>
      </c>
      <c r="O82" s="17">
        <f t="shared" si="9"/>
        <v>955</v>
      </c>
      <c r="P82" s="17">
        <f>1910*C82</f>
        <v>955</v>
      </c>
      <c r="Q82" s="17">
        <v>0</v>
      </c>
      <c r="R82" s="17">
        <v>0</v>
      </c>
      <c r="S82" s="17">
        <f t="shared" si="11"/>
        <v>955</v>
      </c>
      <c r="T82" s="8">
        <f t="shared" si="12"/>
        <v>24055</v>
      </c>
      <c r="U82" s="4" t="s">
        <v>371</v>
      </c>
      <c r="V82" s="18" t="s">
        <v>372</v>
      </c>
      <c r="W82" s="4" t="s">
        <v>373</v>
      </c>
      <c r="X82" s="4"/>
      <c r="Y82" s="3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</row>
    <row r="83" spans="1:251" s="29" customFormat="1" ht="21" customHeight="1" x14ac:dyDescent="0.25">
      <c r="A83" s="32" t="s">
        <v>374</v>
      </c>
      <c r="B83" s="32">
        <v>0.40600000000000003</v>
      </c>
      <c r="C83" s="33">
        <v>0.30000000000000004</v>
      </c>
      <c r="D83" s="34">
        <v>38232.5</v>
      </c>
      <c r="E83" s="34">
        <v>86100</v>
      </c>
      <c r="F83" s="34">
        <v>123000.00000000001</v>
      </c>
      <c r="G83" s="34">
        <v>86100</v>
      </c>
      <c r="H83" s="34">
        <v>36900.000000000007</v>
      </c>
      <c r="I83" s="34">
        <v>1332.4999999999927</v>
      </c>
      <c r="J83" s="34">
        <v>28778</v>
      </c>
      <c r="K83" s="34">
        <f t="shared" si="10"/>
        <v>8633.4000000000015</v>
      </c>
      <c r="L83" s="34">
        <v>0</v>
      </c>
      <c r="M83" s="34">
        <f t="shared" si="8"/>
        <v>8633.4000000000015</v>
      </c>
      <c r="N83" s="34">
        <v>0</v>
      </c>
      <c r="O83" s="34">
        <f t="shared" si="9"/>
        <v>8633.4000000000015</v>
      </c>
      <c r="P83" s="35">
        <f>28778*C83</f>
        <v>8633.4000000000015</v>
      </c>
      <c r="Q83" s="35">
        <v>0</v>
      </c>
      <c r="R83" s="35">
        <v>0</v>
      </c>
      <c r="S83" s="35">
        <f t="shared" si="11"/>
        <v>8633.4000000000015</v>
      </c>
      <c r="T83" s="26">
        <f t="shared" si="12"/>
        <v>29599.1</v>
      </c>
      <c r="U83" s="27" t="s">
        <v>375</v>
      </c>
      <c r="V83" s="28" t="s">
        <v>376</v>
      </c>
      <c r="W83" s="27" t="s">
        <v>377</v>
      </c>
      <c r="X83" s="27"/>
      <c r="Y83" s="7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/>
      <c r="DU83" s="25"/>
      <c r="DV83" s="25"/>
      <c r="DW83" s="25"/>
      <c r="DX83" s="25"/>
      <c r="DY83" s="25"/>
      <c r="DZ83" s="25"/>
      <c r="EA83" s="25"/>
      <c r="EB83" s="25"/>
      <c r="EC83" s="25"/>
      <c r="ED83" s="25"/>
      <c r="EE83" s="25"/>
      <c r="EF83" s="25"/>
      <c r="EG83" s="25"/>
      <c r="EH83" s="25"/>
      <c r="EI83" s="25"/>
      <c r="EJ83" s="25"/>
      <c r="EK83" s="25"/>
      <c r="EL83" s="25"/>
      <c r="EM83" s="25"/>
      <c r="EN83" s="25"/>
      <c r="EO83" s="25"/>
      <c r="EP83" s="25"/>
      <c r="EQ83" s="25"/>
      <c r="ER83" s="25"/>
      <c r="ES83" s="25"/>
      <c r="ET83" s="25"/>
      <c r="EU83" s="25"/>
      <c r="EV83" s="25"/>
      <c r="EW83" s="25"/>
      <c r="EX83" s="25"/>
      <c r="EY83" s="25"/>
      <c r="EZ83" s="25"/>
      <c r="FA83" s="25"/>
      <c r="FB83" s="25"/>
      <c r="FC83" s="25"/>
      <c r="FD83" s="25"/>
      <c r="FE83" s="25"/>
      <c r="FF83" s="25"/>
      <c r="FG83" s="25"/>
      <c r="FH83" s="25"/>
      <c r="FI83" s="25"/>
      <c r="FJ83" s="25"/>
      <c r="FK83" s="25"/>
      <c r="FL83" s="25"/>
      <c r="FM83" s="25"/>
      <c r="FN83" s="25"/>
      <c r="FO83" s="25"/>
      <c r="FP83" s="25"/>
      <c r="FQ83" s="25"/>
      <c r="FR83" s="25"/>
      <c r="FS83" s="25"/>
      <c r="FT83" s="25"/>
      <c r="FU83" s="25"/>
      <c r="FV83" s="25"/>
      <c r="FW83" s="25"/>
      <c r="FX83" s="25"/>
      <c r="FY83" s="25"/>
      <c r="FZ83" s="25"/>
      <c r="GA83" s="25"/>
      <c r="GB83" s="25"/>
      <c r="GC83" s="25"/>
      <c r="GD83" s="25"/>
      <c r="GE83" s="25"/>
      <c r="GF83" s="25"/>
      <c r="GG83" s="25"/>
      <c r="GH83" s="25"/>
      <c r="GI83" s="25"/>
      <c r="GJ83" s="25"/>
      <c r="GK83" s="25"/>
      <c r="GL83" s="25"/>
      <c r="GM83" s="25"/>
      <c r="GN83" s="25"/>
      <c r="GO83" s="25"/>
      <c r="GP83" s="25"/>
    </row>
    <row r="84" spans="1:251" s="5" customFormat="1" ht="17.100000000000001" customHeight="1" x14ac:dyDescent="0.25">
      <c r="A84" s="14" t="s">
        <v>163</v>
      </c>
      <c r="B84" s="15"/>
      <c r="C84" s="16">
        <v>0.19999999999999996</v>
      </c>
      <c r="D84" s="17">
        <v>4798</v>
      </c>
      <c r="E84" s="17">
        <v>17832.52</v>
      </c>
      <c r="F84" s="17">
        <v>22290.649999999998</v>
      </c>
      <c r="G84" s="17">
        <v>17832.52</v>
      </c>
      <c r="H84" s="17">
        <v>4458.1299999999983</v>
      </c>
      <c r="I84" s="17">
        <v>339.87000000000171</v>
      </c>
      <c r="J84" s="17">
        <v>744</v>
      </c>
      <c r="K84" s="17">
        <f t="shared" si="10"/>
        <v>148.79999999999995</v>
      </c>
      <c r="L84" s="17">
        <v>0</v>
      </c>
      <c r="M84" s="17">
        <f t="shared" ref="M84:M115" si="13">SUM(K84:L84)</f>
        <v>148.79999999999995</v>
      </c>
      <c r="N84" s="17">
        <v>0</v>
      </c>
      <c r="O84" s="17">
        <f t="shared" ref="O84:O115" si="14">SUM(M84:N84)</f>
        <v>148.79999999999995</v>
      </c>
      <c r="P84" s="17">
        <f>744*C84</f>
        <v>148.79999999999995</v>
      </c>
      <c r="Q84" s="17">
        <v>0</v>
      </c>
      <c r="R84" s="17">
        <v>0</v>
      </c>
      <c r="S84" s="17">
        <f t="shared" si="11"/>
        <v>148.79999999999995</v>
      </c>
      <c r="T84" s="8">
        <f t="shared" si="12"/>
        <v>4649.2</v>
      </c>
      <c r="U84" s="4" t="s">
        <v>164</v>
      </c>
      <c r="V84" s="18" t="s">
        <v>165</v>
      </c>
      <c r="W84" s="4" t="s">
        <v>166</v>
      </c>
      <c r="X84" s="4"/>
      <c r="Y84" s="3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</row>
    <row r="85" spans="1:251" s="29" customFormat="1" ht="21" customHeight="1" x14ac:dyDescent="0.25">
      <c r="A85" s="32" t="s">
        <v>378</v>
      </c>
      <c r="B85" s="32">
        <v>0.184</v>
      </c>
      <c r="C85" s="33">
        <v>0.4</v>
      </c>
      <c r="D85" s="34">
        <v>30000</v>
      </c>
      <c r="E85" s="34">
        <v>25800</v>
      </c>
      <c r="F85" s="34">
        <v>43000</v>
      </c>
      <c r="G85" s="34">
        <v>25800</v>
      </c>
      <c r="H85" s="34">
        <v>17200</v>
      </c>
      <c r="I85" s="34">
        <v>12800</v>
      </c>
      <c r="J85" s="34">
        <v>20410</v>
      </c>
      <c r="K85" s="34">
        <f t="shared" si="10"/>
        <v>8164</v>
      </c>
      <c r="L85" s="34">
        <v>0</v>
      </c>
      <c r="M85" s="34">
        <f t="shared" si="13"/>
        <v>8164</v>
      </c>
      <c r="N85" s="34">
        <v>0</v>
      </c>
      <c r="O85" s="34">
        <f t="shared" si="14"/>
        <v>8164</v>
      </c>
      <c r="P85" s="35">
        <f>20410*C85</f>
        <v>8164</v>
      </c>
      <c r="Q85" s="35">
        <v>0</v>
      </c>
      <c r="R85" s="35">
        <v>0</v>
      </c>
      <c r="S85" s="35">
        <f t="shared" si="11"/>
        <v>8164</v>
      </c>
      <c r="T85" s="26">
        <f t="shared" si="12"/>
        <v>21836</v>
      </c>
      <c r="U85" s="27" t="s">
        <v>379</v>
      </c>
      <c r="V85" s="28" t="s">
        <v>380</v>
      </c>
      <c r="W85" s="27" t="s">
        <v>381</v>
      </c>
      <c r="X85" s="27"/>
      <c r="Y85" s="7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5"/>
      <c r="EJ85" s="25"/>
      <c r="EK85" s="25"/>
      <c r="EL85" s="25"/>
      <c r="EM85" s="25"/>
      <c r="EN85" s="25"/>
      <c r="EO85" s="25"/>
      <c r="EP85" s="25"/>
      <c r="EQ85" s="25"/>
      <c r="ER85" s="25"/>
      <c r="ES85" s="25"/>
      <c r="ET85" s="25"/>
      <c r="EU85" s="25"/>
      <c r="EV85" s="25"/>
      <c r="EW85" s="25"/>
      <c r="EX85" s="25"/>
      <c r="EY85" s="25"/>
      <c r="EZ85" s="25"/>
      <c r="FA85" s="25"/>
      <c r="FB85" s="25"/>
      <c r="FC85" s="25"/>
      <c r="FD85" s="25"/>
      <c r="FE85" s="25"/>
      <c r="FF85" s="25"/>
      <c r="FG85" s="25"/>
      <c r="FH85" s="25"/>
      <c r="FI85" s="25"/>
      <c r="FJ85" s="25"/>
      <c r="FK85" s="25"/>
      <c r="FL85" s="25"/>
      <c r="FM85" s="25"/>
      <c r="FN85" s="25"/>
      <c r="FO85" s="25"/>
      <c r="FP85" s="25"/>
      <c r="FQ85" s="25"/>
      <c r="FR85" s="25"/>
      <c r="FS85" s="25"/>
      <c r="FT85" s="25"/>
      <c r="FU85" s="25"/>
      <c r="FV85" s="25"/>
      <c r="FW85" s="25"/>
      <c r="FX85" s="25"/>
      <c r="FY85" s="25"/>
      <c r="FZ85" s="25"/>
      <c r="GA85" s="25"/>
      <c r="GB85" s="25"/>
      <c r="GC85" s="25"/>
      <c r="GD85" s="25"/>
      <c r="GE85" s="25"/>
      <c r="GF85" s="25"/>
      <c r="GG85" s="25"/>
      <c r="GH85" s="25"/>
      <c r="GI85" s="25"/>
      <c r="GJ85" s="25"/>
      <c r="GK85" s="25"/>
      <c r="GL85" s="25"/>
      <c r="GM85" s="25"/>
      <c r="GN85" s="25"/>
      <c r="GO85" s="25"/>
      <c r="GP85" s="25"/>
    </row>
    <row r="86" spans="1:251" s="5" customFormat="1" ht="17.100000000000001" customHeight="1" x14ac:dyDescent="0.25">
      <c r="A86" s="14" t="s">
        <v>382</v>
      </c>
      <c r="B86" s="15">
        <v>0.33</v>
      </c>
      <c r="C86" s="16">
        <v>0.4</v>
      </c>
      <c r="D86" s="17">
        <v>7301</v>
      </c>
      <c r="E86" s="17">
        <v>600</v>
      </c>
      <c r="F86" s="17">
        <v>1000</v>
      </c>
      <c r="G86" s="17">
        <v>600</v>
      </c>
      <c r="H86" s="17">
        <v>400</v>
      </c>
      <c r="I86" s="17">
        <v>6901</v>
      </c>
      <c r="J86" s="17">
        <v>1000</v>
      </c>
      <c r="K86" s="17">
        <f t="shared" si="10"/>
        <v>400</v>
      </c>
      <c r="L86" s="17">
        <v>6901</v>
      </c>
      <c r="M86" s="17">
        <f t="shared" si="13"/>
        <v>7301</v>
      </c>
      <c r="N86" s="17">
        <v>0</v>
      </c>
      <c r="O86" s="17">
        <f t="shared" si="14"/>
        <v>7301</v>
      </c>
      <c r="P86" s="17">
        <f>1000*C86</f>
        <v>400</v>
      </c>
      <c r="Q86" s="17">
        <v>6901</v>
      </c>
      <c r="R86" s="17">
        <v>0</v>
      </c>
      <c r="S86" s="17">
        <f t="shared" si="11"/>
        <v>7301</v>
      </c>
      <c r="T86" s="8">
        <f t="shared" si="12"/>
        <v>0</v>
      </c>
      <c r="U86" s="4" t="s">
        <v>383</v>
      </c>
      <c r="V86" s="18" t="s">
        <v>384</v>
      </c>
      <c r="W86" s="4" t="s">
        <v>385</v>
      </c>
      <c r="X86" s="4"/>
      <c r="Y86" s="3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</row>
    <row r="87" spans="1:251" s="29" customFormat="1" ht="21" customHeight="1" x14ac:dyDescent="0.25">
      <c r="A87" s="32" t="s">
        <v>167</v>
      </c>
      <c r="B87" s="32"/>
      <c r="C87" s="33">
        <v>0.4</v>
      </c>
      <c r="D87" s="34">
        <v>10000</v>
      </c>
      <c r="E87" s="34" t="s">
        <v>24</v>
      </c>
      <c r="F87" s="34" t="s">
        <v>24</v>
      </c>
      <c r="G87" s="34" t="s">
        <v>24</v>
      </c>
      <c r="H87" s="34" t="s">
        <v>24</v>
      </c>
      <c r="I87" s="34" t="s">
        <v>24</v>
      </c>
      <c r="J87" s="34">
        <v>2913</v>
      </c>
      <c r="K87" s="34">
        <f t="shared" si="10"/>
        <v>1165.2</v>
      </c>
      <c r="L87" s="34">
        <v>0</v>
      </c>
      <c r="M87" s="34">
        <f t="shared" si="13"/>
        <v>1165.2</v>
      </c>
      <c r="N87" s="34">
        <v>0</v>
      </c>
      <c r="O87" s="34">
        <f t="shared" si="14"/>
        <v>1165.2</v>
      </c>
      <c r="P87" s="35">
        <f>2913*C87</f>
        <v>1165.2</v>
      </c>
      <c r="Q87" s="35">
        <v>0</v>
      </c>
      <c r="R87" s="35">
        <v>0</v>
      </c>
      <c r="S87" s="35">
        <f t="shared" si="11"/>
        <v>1165.2</v>
      </c>
      <c r="T87" s="26">
        <f t="shared" si="12"/>
        <v>8834.7999999999993</v>
      </c>
      <c r="U87" s="27" t="s">
        <v>20</v>
      </c>
      <c r="V87" s="28" t="s">
        <v>21</v>
      </c>
      <c r="W87" s="27" t="s">
        <v>168</v>
      </c>
      <c r="X87" s="27"/>
      <c r="Y87" s="7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25"/>
      <c r="DW87" s="25"/>
      <c r="DX87" s="25"/>
      <c r="DY87" s="25"/>
      <c r="DZ87" s="25"/>
      <c r="EA87" s="25"/>
      <c r="EB87" s="25"/>
      <c r="EC87" s="25"/>
      <c r="ED87" s="25"/>
      <c r="EE87" s="25"/>
      <c r="EF87" s="25"/>
      <c r="EG87" s="25"/>
      <c r="EH87" s="25"/>
      <c r="EI87" s="25"/>
      <c r="EJ87" s="25"/>
      <c r="EK87" s="25"/>
      <c r="EL87" s="25"/>
      <c r="EM87" s="25"/>
      <c r="EN87" s="25"/>
      <c r="EO87" s="25"/>
      <c r="EP87" s="25"/>
      <c r="EQ87" s="25"/>
      <c r="ER87" s="25"/>
      <c r="ES87" s="25"/>
      <c r="ET87" s="25"/>
      <c r="EU87" s="25"/>
      <c r="EV87" s="25"/>
      <c r="EW87" s="25"/>
      <c r="EX87" s="25"/>
      <c r="EY87" s="25"/>
      <c r="EZ87" s="25"/>
      <c r="FA87" s="25"/>
      <c r="FB87" s="25"/>
      <c r="FC87" s="25"/>
      <c r="FD87" s="25"/>
      <c r="FE87" s="25"/>
      <c r="FF87" s="25"/>
      <c r="FG87" s="25"/>
      <c r="FH87" s="25"/>
      <c r="FI87" s="25"/>
      <c r="FJ87" s="25"/>
      <c r="FK87" s="25"/>
      <c r="FL87" s="25"/>
      <c r="FM87" s="25"/>
      <c r="FN87" s="25"/>
      <c r="FO87" s="25"/>
      <c r="FP87" s="25"/>
      <c r="FQ87" s="25"/>
      <c r="FR87" s="25"/>
      <c r="FS87" s="25"/>
      <c r="FT87" s="25"/>
      <c r="FU87" s="25"/>
      <c r="FV87" s="25"/>
      <c r="FW87" s="25"/>
      <c r="FX87" s="25"/>
      <c r="FY87" s="25"/>
      <c r="FZ87" s="25"/>
      <c r="GA87" s="25"/>
      <c r="GB87" s="25"/>
      <c r="GC87" s="25"/>
      <c r="GD87" s="25"/>
      <c r="GE87" s="25"/>
      <c r="GF87" s="25"/>
      <c r="GG87" s="25"/>
      <c r="GH87" s="25"/>
      <c r="GI87" s="25"/>
      <c r="GJ87" s="25"/>
      <c r="GK87" s="25"/>
      <c r="GL87" s="25"/>
      <c r="GM87" s="25"/>
      <c r="GN87" s="25"/>
      <c r="GO87" s="25"/>
      <c r="GP87" s="25"/>
    </row>
    <row r="88" spans="1:251" s="5" customFormat="1" ht="17.100000000000001" customHeight="1" x14ac:dyDescent="0.25">
      <c r="A88" s="14" t="s">
        <v>386</v>
      </c>
      <c r="B88" s="15">
        <v>0.22800000000000001</v>
      </c>
      <c r="C88" s="16">
        <v>0.4</v>
      </c>
      <c r="D88" s="17">
        <v>22728</v>
      </c>
      <c r="E88" s="17">
        <v>31200</v>
      </c>
      <c r="F88" s="17">
        <v>52000</v>
      </c>
      <c r="G88" s="17">
        <v>31200</v>
      </c>
      <c r="H88" s="17">
        <v>20800</v>
      </c>
      <c r="I88" s="17">
        <v>1928</v>
      </c>
      <c r="J88" s="17">
        <v>10175</v>
      </c>
      <c r="K88" s="17">
        <f t="shared" si="10"/>
        <v>4070</v>
      </c>
      <c r="L88" s="17">
        <v>0</v>
      </c>
      <c r="M88" s="17">
        <f t="shared" si="13"/>
        <v>4070</v>
      </c>
      <c r="N88" s="17">
        <v>8000</v>
      </c>
      <c r="O88" s="17">
        <f t="shared" si="14"/>
        <v>12070</v>
      </c>
      <c r="P88" s="17">
        <f>10175*C88</f>
        <v>4070</v>
      </c>
      <c r="Q88" s="17">
        <v>0</v>
      </c>
      <c r="R88" s="17">
        <v>8000</v>
      </c>
      <c r="S88" s="17">
        <f t="shared" si="11"/>
        <v>12070</v>
      </c>
      <c r="T88" s="8">
        <f t="shared" si="12"/>
        <v>10658</v>
      </c>
      <c r="U88" s="4" t="s">
        <v>387</v>
      </c>
      <c r="V88" s="18" t="s">
        <v>388</v>
      </c>
      <c r="W88" s="4" t="s">
        <v>389</v>
      </c>
      <c r="X88" s="4"/>
      <c r="Y88" s="3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</row>
    <row r="89" spans="1:251" s="29" customFormat="1" ht="21" customHeight="1" x14ac:dyDescent="0.25">
      <c r="A89" s="32" t="s">
        <v>169</v>
      </c>
      <c r="B89" s="32"/>
      <c r="C89" s="33">
        <v>0.30000000000000004</v>
      </c>
      <c r="D89" s="34">
        <v>5000</v>
      </c>
      <c r="E89" s="34">
        <v>9582.23</v>
      </c>
      <c r="F89" s="34">
        <v>13688.9</v>
      </c>
      <c r="G89" s="34">
        <v>9582.23</v>
      </c>
      <c r="H89" s="34">
        <v>4106.67</v>
      </c>
      <c r="I89" s="34">
        <v>893.32999999999993</v>
      </c>
      <c r="J89" s="34">
        <v>1168</v>
      </c>
      <c r="K89" s="34">
        <f t="shared" si="10"/>
        <v>350.40000000000003</v>
      </c>
      <c r="L89" s="34">
        <v>0</v>
      </c>
      <c r="M89" s="34">
        <f t="shared" si="13"/>
        <v>350.40000000000003</v>
      </c>
      <c r="N89" s="34">
        <v>0</v>
      </c>
      <c r="O89" s="34">
        <f t="shared" si="14"/>
        <v>350.40000000000003</v>
      </c>
      <c r="P89" s="35">
        <f>1168*C89</f>
        <v>350.40000000000003</v>
      </c>
      <c r="Q89" s="35">
        <v>0</v>
      </c>
      <c r="R89" s="35">
        <v>0</v>
      </c>
      <c r="S89" s="35">
        <f t="shared" si="11"/>
        <v>350.40000000000003</v>
      </c>
      <c r="T89" s="26">
        <f t="shared" si="12"/>
        <v>4649.6000000000004</v>
      </c>
      <c r="U89" s="27" t="s">
        <v>170</v>
      </c>
      <c r="V89" s="28" t="s">
        <v>171</v>
      </c>
      <c r="W89" s="27" t="s">
        <v>172</v>
      </c>
      <c r="X89" s="27"/>
      <c r="Y89" s="7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25"/>
      <c r="DT89" s="25"/>
      <c r="DU89" s="25"/>
      <c r="DV89" s="25"/>
      <c r="DW89" s="25"/>
      <c r="DX89" s="25"/>
      <c r="DY89" s="25"/>
      <c r="DZ89" s="25"/>
      <c r="EA89" s="25"/>
      <c r="EB89" s="25"/>
      <c r="EC89" s="25"/>
      <c r="ED89" s="25"/>
      <c r="EE89" s="25"/>
      <c r="EF89" s="25"/>
      <c r="EG89" s="25"/>
      <c r="EH89" s="25"/>
      <c r="EI89" s="25"/>
      <c r="EJ89" s="25"/>
      <c r="EK89" s="25"/>
      <c r="EL89" s="25"/>
      <c r="EM89" s="25"/>
      <c r="EN89" s="25"/>
      <c r="EO89" s="25"/>
      <c r="EP89" s="25"/>
      <c r="EQ89" s="25"/>
      <c r="ER89" s="25"/>
      <c r="ES89" s="25"/>
      <c r="ET89" s="25"/>
      <c r="EU89" s="25"/>
      <c r="EV89" s="25"/>
      <c r="EW89" s="25"/>
      <c r="EX89" s="25"/>
      <c r="EY89" s="25"/>
      <c r="EZ89" s="25"/>
      <c r="FA89" s="25"/>
      <c r="FB89" s="25"/>
      <c r="FC89" s="25"/>
      <c r="FD89" s="25"/>
      <c r="FE89" s="25"/>
      <c r="FF89" s="25"/>
      <c r="FG89" s="25"/>
      <c r="FH89" s="25"/>
      <c r="FI89" s="25"/>
      <c r="FJ89" s="25"/>
      <c r="FK89" s="25"/>
      <c r="FL89" s="25"/>
      <c r="FM89" s="25"/>
      <c r="FN89" s="25"/>
      <c r="FO89" s="25"/>
      <c r="FP89" s="25"/>
      <c r="FQ89" s="25"/>
      <c r="FR89" s="25"/>
      <c r="FS89" s="25"/>
      <c r="FT89" s="25"/>
      <c r="FU89" s="25"/>
      <c r="FV89" s="25"/>
      <c r="FW89" s="25"/>
      <c r="FX89" s="25"/>
      <c r="FY89" s="25"/>
      <c r="FZ89" s="25"/>
      <c r="GA89" s="25"/>
      <c r="GB89" s="25"/>
      <c r="GC89" s="25"/>
      <c r="GD89" s="25"/>
      <c r="GE89" s="25"/>
      <c r="GF89" s="25"/>
      <c r="GG89" s="25"/>
      <c r="GH89" s="25"/>
      <c r="GI89" s="25"/>
      <c r="GJ89" s="25"/>
      <c r="GK89" s="25"/>
      <c r="GL89" s="25"/>
      <c r="GM89" s="25"/>
      <c r="GN89" s="25"/>
      <c r="GO89" s="25"/>
      <c r="GP89" s="25"/>
    </row>
    <row r="90" spans="1:251" s="5" customFormat="1" ht="17.100000000000001" customHeight="1" x14ac:dyDescent="0.25">
      <c r="A90" s="14" t="s">
        <v>173</v>
      </c>
      <c r="B90" s="15"/>
      <c r="C90" s="16">
        <v>0.30000000000000004</v>
      </c>
      <c r="D90" s="17">
        <v>7500</v>
      </c>
      <c r="E90" s="17">
        <v>9582.23</v>
      </c>
      <c r="F90" s="17">
        <v>13688.9</v>
      </c>
      <c r="G90" s="17">
        <v>9582.23</v>
      </c>
      <c r="H90" s="17">
        <v>4106.67</v>
      </c>
      <c r="I90" s="17">
        <v>3393.33</v>
      </c>
      <c r="J90" s="17">
        <v>4978</v>
      </c>
      <c r="K90" s="17">
        <f t="shared" si="10"/>
        <v>1493.4000000000003</v>
      </c>
      <c r="L90" s="17">
        <v>0</v>
      </c>
      <c r="M90" s="17">
        <f t="shared" si="13"/>
        <v>1493.4000000000003</v>
      </c>
      <c r="N90" s="17">
        <v>0</v>
      </c>
      <c r="O90" s="17">
        <f t="shared" si="14"/>
        <v>1493.4000000000003</v>
      </c>
      <c r="P90" s="17">
        <f>4978*C90</f>
        <v>1493.4000000000003</v>
      </c>
      <c r="Q90" s="17">
        <v>0</v>
      </c>
      <c r="R90" s="17">
        <v>0</v>
      </c>
      <c r="S90" s="17">
        <f t="shared" si="11"/>
        <v>1493.4000000000003</v>
      </c>
      <c r="T90" s="8">
        <f t="shared" si="12"/>
        <v>6006.5999999999995</v>
      </c>
      <c r="U90" s="4" t="s">
        <v>20</v>
      </c>
      <c r="V90" s="18" t="s">
        <v>21</v>
      </c>
      <c r="W90" s="4" t="s">
        <v>174</v>
      </c>
      <c r="X90" s="4"/>
      <c r="Y90" s="3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</row>
    <row r="91" spans="1:251" s="29" customFormat="1" ht="21" customHeight="1" x14ac:dyDescent="0.25">
      <c r="A91" s="32" t="s">
        <v>390</v>
      </c>
      <c r="B91" s="32">
        <v>0.32</v>
      </c>
      <c r="C91" s="33">
        <v>0.30000000000000004</v>
      </c>
      <c r="D91" s="34">
        <v>4321.5</v>
      </c>
      <c r="E91" s="34">
        <v>0</v>
      </c>
      <c r="F91" s="34">
        <v>0</v>
      </c>
      <c r="G91" s="34">
        <v>0</v>
      </c>
      <c r="H91" s="34">
        <v>0</v>
      </c>
      <c r="I91" s="34">
        <v>4321.5</v>
      </c>
      <c r="J91" s="34">
        <v>0</v>
      </c>
      <c r="K91" s="34">
        <f t="shared" si="10"/>
        <v>0</v>
      </c>
      <c r="L91" s="34">
        <v>0</v>
      </c>
      <c r="M91" s="34">
        <f t="shared" si="13"/>
        <v>0</v>
      </c>
      <c r="N91" s="34">
        <v>4321</v>
      </c>
      <c r="O91" s="34">
        <f t="shared" si="14"/>
        <v>4321</v>
      </c>
      <c r="P91" s="35">
        <v>0</v>
      </c>
      <c r="Q91" s="35">
        <v>0</v>
      </c>
      <c r="R91" s="35">
        <v>4321</v>
      </c>
      <c r="S91" s="35">
        <f t="shared" si="11"/>
        <v>4321</v>
      </c>
      <c r="T91" s="26">
        <f t="shared" si="12"/>
        <v>0.5</v>
      </c>
      <c r="U91" s="27" t="s">
        <v>391</v>
      </c>
      <c r="V91" s="28" t="s">
        <v>392</v>
      </c>
      <c r="W91" s="27" t="s">
        <v>393</v>
      </c>
      <c r="X91" s="27"/>
      <c r="Y91" s="7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5"/>
      <c r="DS91" s="25"/>
      <c r="DT91" s="25"/>
      <c r="DU91" s="25"/>
      <c r="DV91" s="25"/>
      <c r="DW91" s="25"/>
      <c r="DX91" s="25"/>
      <c r="DY91" s="25"/>
      <c r="DZ91" s="25"/>
      <c r="EA91" s="25"/>
      <c r="EB91" s="25"/>
      <c r="EC91" s="25"/>
      <c r="ED91" s="25"/>
      <c r="EE91" s="25"/>
      <c r="EF91" s="25"/>
      <c r="EG91" s="25"/>
      <c r="EH91" s="25"/>
      <c r="EI91" s="25"/>
      <c r="EJ91" s="25"/>
      <c r="EK91" s="25"/>
      <c r="EL91" s="25"/>
      <c r="EM91" s="25"/>
      <c r="EN91" s="25"/>
      <c r="EO91" s="25"/>
      <c r="EP91" s="25"/>
      <c r="EQ91" s="25"/>
      <c r="ER91" s="25"/>
      <c r="ES91" s="25"/>
      <c r="ET91" s="25"/>
      <c r="EU91" s="25"/>
      <c r="EV91" s="25"/>
      <c r="EW91" s="25"/>
      <c r="EX91" s="25"/>
      <c r="EY91" s="25"/>
      <c r="EZ91" s="25"/>
      <c r="FA91" s="25"/>
      <c r="FB91" s="25"/>
      <c r="FC91" s="25"/>
      <c r="FD91" s="25"/>
      <c r="FE91" s="25"/>
      <c r="FF91" s="25"/>
      <c r="FG91" s="25"/>
      <c r="FH91" s="25"/>
      <c r="FI91" s="25"/>
      <c r="FJ91" s="25"/>
      <c r="FK91" s="25"/>
      <c r="FL91" s="25"/>
      <c r="FM91" s="25"/>
      <c r="FN91" s="25"/>
      <c r="FO91" s="25"/>
      <c r="FP91" s="25"/>
      <c r="FQ91" s="25"/>
      <c r="FR91" s="25"/>
      <c r="FS91" s="25"/>
      <c r="FT91" s="25"/>
      <c r="FU91" s="25"/>
      <c r="FV91" s="25"/>
      <c r="FW91" s="25"/>
      <c r="FX91" s="25"/>
      <c r="FY91" s="25"/>
      <c r="FZ91" s="25"/>
      <c r="GA91" s="25"/>
      <c r="GB91" s="25"/>
      <c r="GC91" s="25"/>
      <c r="GD91" s="25"/>
      <c r="GE91" s="25"/>
      <c r="GF91" s="25"/>
      <c r="GG91" s="25"/>
      <c r="GH91" s="25"/>
      <c r="GI91" s="25"/>
      <c r="GJ91" s="25"/>
      <c r="GK91" s="25"/>
      <c r="GL91" s="25"/>
      <c r="GM91" s="25"/>
      <c r="GN91" s="25"/>
      <c r="GO91" s="25"/>
      <c r="GP91" s="25"/>
    </row>
    <row r="92" spans="1:251" s="5" customFormat="1" ht="17.100000000000001" customHeight="1" x14ac:dyDescent="0.25">
      <c r="A92" s="14" t="s">
        <v>175</v>
      </c>
      <c r="B92" s="15"/>
      <c r="C92" s="16">
        <v>0.30000000000000004</v>
      </c>
      <c r="D92" s="17">
        <v>5000</v>
      </c>
      <c r="E92" s="17">
        <v>9582.23</v>
      </c>
      <c r="F92" s="17">
        <v>13688.9</v>
      </c>
      <c r="G92" s="17">
        <v>9582.23</v>
      </c>
      <c r="H92" s="17">
        <v>4106.67</v>
      </c>
      <c r="I92" s="17">
        <v>893.32999999999993</v>
      </c>
      <c r="J92" s="17">
        <v>3594</v>
      </c>
      <c r="K92" s="17">
        <f t="shared" si="10"/>
        <v>1078.2000000000003</v>
      </c>
      <c r="L92" s="17">
        <v>0</v>
      </c>
      <c r="M92" s="17">
        <f t="shared" si="13"/>
        <v>1078.2000000000003</v>
      </c>
      <c r="N92" s="17">
        <v>0</v>
      </c>
      <c r="O92" s="17">
        <f t="shared" si="14"/>
        <v>1078.2000000000003</v>
      </c>
      <c r="P92" s="17">
        <f>3594*C92</f>
        <v>1078.2000000000003</v>
      </c>
      <c r="Q92" s="17">
        <v>0</v>
      </c>
      <c r="R92" s="17">
        <v>0</v>
      </c>
      <c r="S92" s="17">
        <f t="shared" si="11"/>
        <v>1078.2000000000003</v>
      </c>
      <c r="T92" s="8">
        <f t="shared" si="12"/>
        <v>3921.7999999999997</v>
      </c>
      <c r="U92" s="4" t="s">
        <v>20</v>
      </c>
      <c r="V92" s="18" t="s">
        <v>21</v>
      </c>
      <c r="W92" s="4" t="s">
        <v>176</v>
      </c>
      <c r="X92" s="4"/>
      <c r="Y92" s="3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</row>
    <row r="93" spans="1:251" s="29" customFormat="1" ht="21" customHeight="1" x14ac:dyDescent="0.25">
      <c r="A93" s="32" t="s">
        <v>177</v>
      </c>
      <c r="B93" s="32"/>
      <c r="C93" s="33">
        <v>0.4</v>
      </c>
      <c r="D93" s="34">
        <v>5000</v>
      </c>
      <c r="E93" s="34">
        <v>5666.48</v>
      </c>
      <c r="F93" s="34">
        <v>9444.1333333333332</v>
      </c>
      <c r="G93" s="34">
        <v>5666.48</v>
      </c>
      <c r="H93" s="34">
        <v>3777.6533333333336</v>
      </c>
      <c r="I93" s="34">
        <v>1222.3466666666664</v>
      </c>
      <c r="J93" s="34">
        <v>4727</v>
      </c>
      <c r="K93" s="34">
        <f t="shared" si="10"/>
        <v>1890.8000000000002</v>
      </c>
      <c r="L93" s="34">
        <v>0</v>
      </c>
      <c r="M93" s="34">
        <f t="shared" si="13"/>
        <v>1890.8000000000002</v>
      </c>
      <c r="N93" s="34">
        <v>0</v>
      </c>
      <c r="O93" s="34">
        <f t="shared" si="14"/>
        <v>1890.8000000000002</v>
      </c>
      <c r="P93" s="35">
        <f>4727*C93</f>
        <v>1890.8000000000002</v>
      </c>
      <c r="Q93" s="35">
        <v>0</v>
      </c>
      <c r="R93" s="35">
        <v>0</v>
      </c>
      <c r="S93" s="35">
        <f t="shared" si="11"/>
        <v>1890.8000000000002</v>
      </c>
      <c r="T93" s="26">
        <f t="shared" si="12"/>
        <v>3109.2</v>
      </c>
      <c r="U93" s="27" t="s">
        <v>20</v>
      </c>
      <c r="V93" s="28" t="s">
        <v>21</v>
      </c>
      <c r="W93" s="27" t="s">
        <v>31</v>
      </c>
      <c r="X93" s="27"/>
      <c r="Y93" s="7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  <c r="DL93" s="25"/>
      <c r="DM93" s="25"/>
      <c r="DN93" s="25"/>
      <c r="DO93" s="25"/>
      <c r="DP93" s="25"/>
      <c r="DQ93" s="25"/>
      <c r="DR93" s="25"/>
      <c r="DS93" s="25"/>
      <c r="DT93" s="25"/>
      <c r="DU93" s="25"/>
      <c r="DV93" s="25"/>
      <c r="DW93" s="25"/>
      <c r="DX93" s="25"/>
      <c r="DY93" s="25"/>
      <c r="DZ93" s="25"/>
      <c r="EA93" s="25"/>
      <c r="EB93" s="25"/>
      <c r="EC93" s="25"/>
      <c r="ED93" s="25"/>
      <c r="EE93" s="25"/>
      <c r="EF93" s="25"/>
      <c r="EG93" s="25"/>
      <c r="EH93" s="25"/>
      <c r="EI93" s="25"/>
      <c r="EJ93" s="25"/>
      <c r="EK93" s="25"/>
      <c r="EL93" s="25"/>
      <c r="EM93" s="25"/>
      <c r="EN93" s="25"/>
      <c r="EO93" s="25"/>
      <c r="EP93" s="25"/>
      <c r="EQ93" s="25"/>
      <c r="ER93" s="25"/>
      <c r="ES93" s="25"/>
      <c r="ET93" s="25"/>
      <c r="EU93" s="25"/>
      <c r="EV93" s="25"/>
      <c r="EW93" s="25"/>
      <c r="EX93" s="25"/>
      <c r="EY93" s="25"/>
      <c r="EZ93" s="25"/>
      <c r="FA93" s="25"/>
      <c r="FB93" s="25"/>
      <c r="FC93" s="25"/>
      <c r="FD93" s="25"/>
      <c r="FE93" s="25"/>
      <c r="FF93" s="25"/>
      <c r="FG93" s="25"/>
      <c r="FH93" s="25"/>
      <c r="FI93" s="25"/>
      <c r="FJ93" s="25"/>
      <c r="FK93" s="25"/>
      <c r="FL93" s="25"/>
      <c r="FM93" s="25"/>
      <c r="FN93" s="25"/>
      <c r="FO93" s="25"/>
      <c r="FP93" s="25"/>
      <c r="FQ93" s="25"/>
      <c r="FR93" s="25"/>
      <c r="FS93" s="25"/>
      <c r="FT93" s="25"/>
      <c r="FU93" s="25"/>
      <c r="FV93" s="25"/>
      <c r="FW93" s="25"/>
      <c r="FX93" s="25"/>
      <c r="FY93" s="25"/>
      <c r="FZ93" s="25"/>
      <c r="GA93" s="25"/>
      <c r="GB93" s="25"/>
      <c r="GC93" s="25"/>
      <c r="GD93" s="25"/>
      <c r="GE93" s="25"/>
      <c r="GF93" s="25"/>
      <c r="GG93" s="25"/>
      <c r="GH93" s="25"/>
      <c r="GI93" s="25"/>
      <c r="GJ93" s="25"/>
      <c r="GK93" s="25"/>
      <c r="GL93" s="25"/>
      <c r="GM93" s="25"/>
      <c r="GN93" s="25"/>
      <c r="GO93" s="25"/>
      <c r="GP93" s="25"/>
    </row>
    <row r="94" spans="1:251" s="5" customFormat="1" ht="17.100000000000001" customHeight="1" x14ac:dyDescent="0.25">
      <c r="A94" s="14" t="s">
        <v>178</v>
      </c>
      <c r="B94" s="15"/>
      <c r="C94" s="16">
        <v>0.4</v>
      </c>
      <c r="D94" s="17">
        <v>5000</v>
      </c>
      <c r="E94" s="17">
        <v>9582.23</v>
      </c>
      <c r="F94" s="17">
        <v>12500</v>
      </c>
      <c r="G94" s="17">
        <v>7500</v>
      </c>
      <c r="H94" s="17">
        <v>5000</v>
      </c>
      <c r="I94" s="17">
        <v>0</v>
      </c>
      <c r="J94" s="17">
        <v>3456.4</v>
      </c>
      <c r="K94" s="17">
        <f t="shared" si="10"/>
        <v>1382.5600000000002</v>
      </c>
      <c r="L94" s="17">
        <v>0</v>
      </c>
      <c r="M94" s="17">
        <f t="shared" si="13"/>
        <v>1382.5600000000002</v>
      </c>
      <c r="N94" s="17">
        <v>0</v>
      </c>
      <c r="O94" s="17">
        <f t="shared" si="14"/>
        <v>1382.5600000000002</v>
      </c>
      <c r="P94" s="17">
        <f>3456.4*C94</f>
        <v>1382.5600000000002</v>
      </c>
      <c r="Q94" s="17">
        <v>0</v>
      </c>
      <c r="R94" s="17">
        <v>0</v>
      </c>
      <c r="S94" s="17">
        <f t="shared" si="11"/>
        <v>1382.5600000000002</v>
      </c>
      <c r="T94" s="8">
        <f t="shared" si="12"/>
        <v>3617.4399999999996</v>
      </c>
      <c r="U94" s="4" t="s">
        <v>179</v>
      </c>
      <c r="V94" s="18" t="s">
        <v>180</v>
      </c>
      <c r="W94" s="4" t="s">
        <v>181</v>
      </c>
      <c r="X94" s="4"/>
      <c r="Y94" s="3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</row>
    <row r="95" spans="1:251" s="29" customFormat="1" ht="21" customHeight="1" x14ac:dyDescent="0.25">
      <c r="A95" s="32" t="s">
        <v>182</v>
      </c>
      <c r="B95" s="32"/>
      <c r="C95" s="33">
        <v>0.4</v>
      </c>
      <c r="D95" s="34">
        <v>7097</v>
      </c>
      <c r="E95" s="34">
        <v>18206.23</v>
      </c>
      <c r="F95" s="34">
        <v>17742.5</v>
      </c>
      <c r="G95" s="34">
        <v>10645.5</v>
      </c>
      <c r="H95" s="34">
        <v>7097</v>
      </c>
      <c r="I95" s="34">
        <v>0</v>
      </c>
      <c r="J95" s="34">
        <v>925</v>
      </c>
      <c r="K95" s="34">
        <f t="shared" si="10"/>
        <v>370</v>
      </c>
      <c r="L95" s="34">
        <v>0</v>
      </c>
      <c r="M95" s="34">
        <f t="shared" si="13"/>
        <v>370</v>
      </c>
      <c r="N95" s="34">
        <v>0</v>
      </c>
      <c r="O95" s="34">
        <f t="shared" si="14"/>
        <v>370</v>
      </c>
      <c r="P95" s="35">
        <f>925*C95</f>
        <v>370</v>
      </c>
      <c r="Q95" s="35">
        <v>0</v>
      </c>
      <c r="R95" s="35">
        <v>0</v>
      </c>
      <c r="S95" s="35">
        <f t="shared" si="11"/>
        <v>370</v>
      </c>
      <c r="T95" s="26">
        <f t="shared" si="12"/>
        <v>6727</v>
      </c>
      <c r="U95" s="27" t="s">
        <v>183</v>
      </c>
      <c r="V95" s="28" t="s">
        <v>184</v>
      </c>
      <c r="W95" s="27" t="s">
        <v>185</v>
      </c>
      <c r="X95" s="27"/>
      <c r="Y95" s="7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  <c r="DR95" s="25"/>
      <c r="DS95" s="25"/>
      <c r="DT95" s="25"/>
      <c r="DU95" s="25"/>
      <c r="DV95" s="25"/>
      <c r="DW95" s="25"/>
      <c r="DX95" s="25"/>
      <c r="DY95" s="25"/>
      <c r="DZ95" s="25"/>
      <c r="EA95" s="25"/>
      <c r="EB95" s="25"/>
      <c r="EC95" s="25"/>
      <c r="ED95" s="25"/>
      <c r="EE95" s="25"/>
      <c r="EF95" s="25"/>
      <c r="EG95" s="25"/>
      <c r="EH95" s="25"/>
      <c r="EI95" s="25"/>
      <c r="EJ95" s="25"/>
      <c r="EK95" s="25"/>
      <c r="EL95" s="25"/>
      <c r="EM95" s="25"/>
      <c r="EN95" s="25"/>
      <c r="EO95" s="25"/>
      <c r="EP95" s="25"/>
      <c r="EQ95" s="25"/>
      <c r="ER95" s="25"/>
      <c r="ES95" s="25"/>
      <c r="ET95" s="25"/>
      <c r="EU95" s="25"/>
      <c r="EV95" s="25"/>
      <c r="EW95" s="25"/>
      <c r="EX95" s="25"/>
      <c r="EY95" s="25"/>
      <c r="EZ95" s="25"/>
      <c r="FA95" s="25"/>
      <c r="FB95" s="25"/>
      <c r="FC95" s="25"/>
      <c r="FD95" s="25"/>
      <c r="FE95" s="25"/>
      <c r="FF95" s="25"/>
      <c r="FG95" s="25"/>
      <c r="FH95" s="25"/>
      <c r="FI95" s="25"/>
      <c r="FJ95" s="25"/>
      <c r="FK95" s="25"/>
      <c r="FL95" s="25"/>
      <c r="FM95" s="25"/>
      <c r="FN95" s="25"/>
      <c r="FO95" s="25"/>
      <c r="FP95" s="25"/>
      <c r="FQ95" s="25"/>
      <c r="FR95" s="25"/>
      <c r="FS95" s="25"/>
      <c r="FT95" s="25"/>
      <c r="FU95" s="25"/>
      <c r="FV95" s="25"/>
      <c r="FW95" s="25"/>
      <c r="FX95" s="25"/>
      <c r="FY95" s="25"/>
      <c r="FZ95" s="25"/>
      <c r="GA95" s="25"/>
      <c r="GB95" s="25"/>
      <c r="GC95" s="25"/>
      <c r="GD95" s="25"/>
      <c r="GE95" s="25"/>
      <c r="GF95" s="25"/>
      <c r="GG95" s="25"/>
      <c r="GH95" s="25"/>
      <c r="GI95" s="25"/>
      <c r="GJ95" s="25"/>
      <c r="GK95" s="25"/>
      <c r="GL95" s="25"/>
      <c r="GM95" s="25"/>
      <c r="GN95" s="25"/>
      <c r="GO95" s="25"/>
      <c r="GP95" s="25"/>
    </row>
    <row r="96" spans="1:251" s="5" customFormat="1" ht="17.100000000000001" customHeight="1" x14ac:dyDescent="0.25">
      <c r="A96" s="14" t="s">
        <v>394</v>
      </c>
      <c r="B96" s="15">
        <v>0.33700000000000002</v>
      </c>
      <c r="C96" s="16">
        <v>0.30000000000000004</v>
      </c>
      <c r="D96" s="17">
        <v>24575.699999999997</v>
      </c>
      <c r="E96" s="17">
        <v>980</v>
      </c>
      <c r="F96" s="17">
        <v>1400</v>
      </c>
      <c r="G96" s="17">
        <v>979.99999999999989</v>
      </c>
      <c r="H96" s="17">
        <v>420.00000000000006</v>
      </c>
      <c r="I96" s="17">
        <v>24155.699999999997</v>
      </c>
      <c r="J96" s="17">
        <v>1400</v>
      </c>
      <c r="K96" s="17">
        <f t="shared" si="10"/>
        <v>420.00000000000006</v>
      </c>
      <c r="L96" s="17">
        <v>7430</v>
      </c>
      <c r="M96" s="17">
        <f t="shared" si="13"/>
        <v>7850</v>
      </c>
      <c r="N96" s="17">
        <v>0</v>
      </c>
      <c r="O96" s="17">
        <f t="shared" si="14"/>
        <v>7850</v>
      </c>
      <c r="P96" s="17">
        <f>1400*C96</f>
        <v>420.00000000000006</v>
      </c>
      <c r="Q96" s="17">
        <f>4415+4415-1400</f>
        <v>7430</v>
      </c>
      <c r="R96" s="17">
        <v>0</v>
      </c>
      <c r="S96" s="17">
        <f t="shared" si="11"/>
        <v>7850</v>
      </c>
      <c r="T96" s="8">
        <f t="shared" si="12"/>
        <v>16725.699999999997</v>
      </c>
      <c r="U96" s="4" t="s">
        <v>395</v>
      </c>
      <c r="V96" s="18" t="s">
        <v>396</v>
      </c>
      <c r="W96" s="4" t="s">
        <v>397</v>
      </c>
      <c r="X96" s="4"/>
      <c r="Y96" s="3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</row>
    <row r="97" spans="1:251" s="29" customFormat="1" ht="21" customHeight="1" x14ac:dyDescent="0.25">
      <c r="A97" s="32" t="s">
        <v>398</v>
      </c>
      <c r="B97" s="32">
        <v>0.60099999999999998</v>
      </c>
      <c r="C97" s="33">
        <v>0.19999999999999996</v>
      </c>
      <c r="D97" s="34">
        <v>7166</v>
      </c>
      <c r="E97" s="34">
        <v>0</v>
      </c>
      <c r="F97" s="34">
        <v>0</v>
      </c>
      <c r="G97" s="34">
        <v>0</v>
      </c>
      <c r="H97" s="34">
        <v>0</v>
      </c>
      <c r="I97" s="34">
        <v>7166</v>
      </c>
      <c r="J97" s="34">
        <v>0</v>
      </c>
      <c r="K97" s="34">
        <f t="shared" si="10"/>
        <v>0</v>
      </c>
      <c r="L97" s="34">
        <v>7166</v>
      </c>
      <c r="M97" s="34">
        <f t="shared" si="13"/>
        <v>7166</v>
      </c>
      <c r="N97" s="34">
        <v>0</v>
      </c>
      <c r="O97" s="34">
        <f t="shared" si="14"/>
        <v>7166</v>
      </c>
      <c r="P97" s="35">
        <v>0</v>
      </c>
      <c r="Q97" s="35">
        <v>7166</v>
      </c>
      <c r="R97" s="35">
        <v>0</v>
      </c>
      <c r="S97" s="35">
        <f t="shared" si="11"/>
        <v>7166</v>
      </c>
      <c r="T97" s="26">
        <f t="shared" si="12"/>
        <v>0</v>
      </c>
      <c r="U97" s="27" t="s">
        <v>399</v>
      </c>
      <c r="V97" s="28" t="s">
        <v>400</v>
      </c>
      <c r="W97" s="27" t="s">
        <v>401</v>
      </c>
      <c r="X97" s="27"/>
      <c r="Y97" s="7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  <c r="DN97" s="25"/>
      <c r="DO97" s="25"/>
      <c r="DP97" s="25"/>
      <c r="DQ97" s="25"/>
      <c r="DR97" s="25"/>
      <c r="DS97" s="25"/>
      <c r="DT97" s="25"/>
      <c r="DU97" s="25"/>
      <c r="DV97" s="25"/>
      <c r="DW97" s="25"/>
      <c r="DX97" s="25"/>
      <c r="DY97" s="25"/>
      <c r="DZ97" s="25"/>
      <c r="EA97" s="25"/>
      <c r="EB97" s="25"/>
      <c r="EC97" s="25"/>
      <c r="ED97" s="25"/>
      <c r="EE97" s="25"/>
      <c r="EF97" s="25"/>
      <c r="EG97" s="25"/>
      <c r="EH97" s="25"/>
      <c r="EI97" s="25"/>
      <c r="EJ97" s="25"/>
      <c r="EK97" s="25"/>
      <c r="EL97" s="25"/>
      <c r="EM97" s="25"/>
      <c r="EN97" s="25"/>
      <c r="EO97" s="25"/>
      <c r="EP97" s="25"/>
      <c r="EQ97" s="25"/>
      <c r="ER97" s="25"/>
      <c r="ES97" s="25"/>
      <c r="ET97" s="25"/>
      <c r="EU97" s="25"/>
      <c r="EV97" s="25"/>
      <c r="EW97" s="25"/>
      <c r="EX97" s="25"/>
      <c r="EY97" s="25"/>
      <c r="EZ97" s="25"/>
      <c r="FA97" s="25"/>
      <c r="FB97" s="25"/>
      <c r="FC97" s="25"/>
      <c r="FD97" s="25"/>
      <c r="FE97" s="25"/>
      <c r="FF97" s="25"/>
      <c r="FG97" s="25"/>
      <c r="FH97" s="25"/>
      <c r="FI97" s="25"/>
      <c r="FJ97" s="25"/>
      <c r="FK97" s="25"/>
      <c r="FL97" s="25"/>
      <c r="FM97" s="25"/>
      <c r="FN97" s="25"/>
      <c r="FO97" s="25"/>
      <c r="FP97" s="25"/>
      <c r="FQ97" s="25"/>
      <c r="FR97" s="25"/>
      <c r="FS97" s="25"/>
      <c r="FT97" s="25"/>
      <c r="FU97" s="25"/>
      <c r="FV97" s="25"/>
      <c r="FW97" s="25"/>
      <c r="FX97" s="25"/>
      <c r="FY97" s="25"/>
      <c r="FZ97" s="25"/>
      <c r="GA97" s="25"/>
      <c r="GB97" s="25"/>
      <c r="GC97" s="25"/>
      <c r="GD97" s="25"/>
      <c r="GE97" s="25"/>
      <c r="GF97" s="25"/>
      <c r="GG97" s="25"/>
      <c r="GH97" s="25"/>
      <c r="GI97" s="25"/>
      <c r="GJ97" s="25"/>
      <c r="GK97" s="25"/>
      <c r="GL97" s="25"/>
      <c r="GM97" s="25"/>
      <c r="GN97" s="25"/>
      <c r="GO97" s="25"/>
      <c r="GP97" s="25"/>
    </row>
    <row r="98" spans="1:251" s="5" customFormat="1" ht="17.100000000000001" customHeight="1" x14ac:dyDescent="0.25">
      <c r="A98" s="14" t="s">
        <v>402</v>
      </c>
      <c r="B98" s="15">
        <v>0.38400000000000001</v>
      </c>
      <c r="C98" s="16">
        <v>0.30000000000000004</v>
      </c>
      <c r="D98" s="17">
        <v>3991</v>
      </c>
      <c r="E98" s="17">
        <v>13300</v>
      </c>
      <c r="F98" s="17">
        <v>13303.333333333332</v>
      </c>
      <c r="G98" s="17">
        <v>9312.3333333333321</v>
      </c>
      <c r="H98" s="17">
        <v>3991</v>
      </c>
      <c r="I98" s="17">
        <v>0</v>
      </c>
      <c r="J98" s="17">
        <v>850</v>
      </c>
      <c r="K98" s="17">
        <f t="shared" si="10"/>
        <v>255.00000000000003</v>
      </c>
      <c r="L98" s="17">
        <v>0</v>
      </c>
      <c r="M98" s="17">
        <f t="shared" si="13"/>
        <v>255.00000000000003</v>
      </c>
      <c r="N98" s="17">
        <v>0</v>
      </c>
      <c r="O98" s="17">
        <f t="shared" si="14"/>
        <v>255.00000000000003</v>
      </c>
      <c r="P98" s="17">
        <f>3400*C98</f>
        <v>1020.0000000000001</v>
      </c>
      <c r="Q98" s="17">
        <v>0</v>
      </c>
      <c r="R98" s="17">
        <v>0</v>
      </c>
      <c r="S98" s="17">
        <f t="shared" si="11"/>
        <v>1020.0000000000001</v>
      </c>
      <c r="T98" s="8">
        <f t="shared" si="12"/>
        <v>2971</v>
      </c>
      <c r="U98" s="4" t="s">
        <v>347</v>
      </c>
      <c r="V98" s="18" t="s">
        <v>348</v>
      </c>
      <c r="W98" s="4" t="s">
        <v>403</v>
      </c>
      <c r="X98" s="4"/>
      <c r="Y98" s="3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</row>
    <row r="99" spans="1:251" s="29" customFormat="1" ht="21" customHeight="1" x14ac:dyDescent="0.25">
      <c r="A99" s="32" t="s">
        <v>404</v>
      </c>
      <c r="B99" s="32">
        <v>0.35299999999999998</v>
      </c>
      <c r="C99" s="33">
        <v>0.4</v>
      </c>
      <c r="D99" s="34">
        <v>23865.399999999998</v>
      </c>
      <c r="E99" s="34">
        <v>54600</v>
      </c>
      <c r="F99" s="34">
        <v>59662.5</v>
      </c>
      <c r="G99" s="34">
        <v>35797.5</v>
      </c>
      <c r="H99" s="34">
        <v>23865</v>
      </c>
      <c r="I99" s="34">
        <v>0.39999999999781721</v>
      </c>
      <c r="J99" s="34">
        <v>59663</v>
      </c>
      <c r="K99" s="34">
        <f t="shared" ref="K99:K106" si="15">J99*C99</f>
        <v>23865.200000000001</v>
      </c>
      <c r="L99" s="34">
        <v>0</v>
      </c>
      <c r="M99" s="34">
        <f t="shared" si="13"/>
        <v>23865.200000000001</v>
      </c>
      <c r="N99" s="34">
        <v>0</v>
      </c>
      <c r="O99" s="34">
        <f t="shared" si="14"/>
        <v>23865.200000000001</v>
      </c>
      <c r="P99" s="35">
        <f>59663*C99</f>
        <v>23865.200000000001</v>
      </c>
      <c r="Q99" s="35">
        <v>0</v>
      </c>
      <c r="R99" s="35">
        <v>0</v>
      </c>
      <c r="S99" s="35">
        <f t="shared" ref="S99:S116" si="16">SUM(P99:R99)</f>
        <v>23865.200000000001</v>
      </c>
      <c r="T99" s="26">
        <f t="shared" ref="T99:T116" si="17">D99-S99</f>
        <v>0.19999999999708962</v>
      </c>
      <c r="U99" s="27" t="s">
        <v>405</v>
      </c>
      <c r="V99" s="28" t="s">
        <v>406</v>
      </c>
      <c r="W99" s="27" t="s">
        <v>407</v>
      </c>
      <c r="X99" s="27"/>
      <c r="Y99" s="7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25"/>
      <c r="CR99" s="25"/>
      <c r="CS99" s="25"/>
      <c r="CT99" s="25"/>
      <c r="CU99" s="25"/>
      <c r="CV99" s="25"/>
      <c r="CW99" s="25"/>
      <c r="CX99" s="25"/>
      <c r="CY99" s="25"/>
      <c r="CZ99" s="25"/>
      <c r="DA99" s="25"/>
      <c r="DB99" s="25"/>
      <c r="DC99" s="25"/>
      <c r="DD99" s="25"/>
      <c r="DE99" s="25"/>
      <c r="DF99" s="25"/>
      <c r="DG99" s="25"/>
      <c r="DH99" s="25"/>
      <c r="DI99" s="25"/>
      <c r="DJ99" s="25"/>
      <c r="DK99" s="25"/>
      <c r="DL99" s="25"/>
      <c r="DM99" s="25"/>
      <c r="DN99" s="25"/>
      <c r="DO99" s="25"/>
      <c r="DP99" s="25"/>
      <c r="DQ99" s="25"/>
      <c r="DR99" s="25"/>
      <c r="DS99" s="25"/>
      <c r="DT99" s="25"/>
      <c r="DU99" s="25"/>
      <c r="DV99" s="25"/>
      <c r="DW99" s="25"/>
      <c r="DX99" s="25"/>
      <c r="DY99" s="25"/>
      <c r="DZ99" s="25"/>
      <c r="EA99" s="25"/>
      <c r="EB99" s="25"/>
      <c r="EC99" s="25"/>
      <c r="ED99" s="25"/>
      <c r="EE99" s="25"/>
      <c r="EF99" s="25"/>
      <c r="EG99" s="25"/>
      <c r="EH99" s="25"/>
      <c r="EI99" s="25"/>
      <c r="EJ99" s="25"/>
      <c r="EK99" s="25"/>
      <c r="EL99" s="25"/>
      <c r="EM99" s="25"/>
      <c r="EN99" s="25"/>
      <c r="EO99" s="25"/>
      <c r="EP99" s="25"/>
      <c r="EQ99" s="25"/>
      <c r="ER99" s="25"/>
      <c r="ES99" s="25"/>
      <c r="ET99" s="25"/>
      <c r="EU99" s="25"/>
      <c r="EV99" s="25"/>
      <c r="EW99" s="25"/>
      <c r="EX99" s="25"/>
      <c r="EY99" s="25"/>
      <c r="EZ99" s="25"/>
      <c r="FA99" s="25"/>
      <c r="FB99" s="25"/>
      <c r="FC99" s="25"/>
      <c r="FD99" s="25"/>
      <c r="FE99" s="25"/>
      <c r="FF99" s="25"/>
      <c r="FG99" s="25"/>
      <c r="FH99" s="25"/>
      <c r="FI99" s="25"/>
      <c r="FJ99" s="25"/>
      <c r="FK99" s="25"/>
      <c r="FL99" s="25"/>
      <c r="FM99" s="25"/>
      <c r="FN99" s="25"/>
      <c r="FO99" s="25"/>
      <c r="FP99" s="25"/>
      <c r="FQ99" s="25"/>
      <c r="FR99" s="25"/>
      <c r="FS99" s="25"/>
      <c r="FT99" s="25"/>
      <c r="FU99" s="25"/>
      <c r="FV99" s="25"/>
      <c r="FW99" s="25"/>
      <c r="FX99" s="25"/>
      <c r="FY99" s="25"/>
      <c r="FZ99" s="25"/>
      <c r="GA99" s="25"/>
      <c r="GB99" s="25"/>
      <c r="GC99" s="25"/>
      <c r="GD99" s="25"/>
      <c r="GE99" s="25"/>
      <c r="GF99" s="25"/>
      <c r="GG99" s="25"/>
      <c r="GH99" s="25"/>
      <c r="GI99" s="25"/>
      <c r="GJ99" s="25"/>
      <c r="GK99" s="25"/>
      <c r="GL99" s="25"/>
      <c r="GM99" s="25"/>
      <c r="GN99" s="25"/>
      <c r="GO99" s="25"/>
      <c r="GP99" s="25"/>
    </row>
    <row r="100" spans="1:251" s="5" customFormat="1" ht="17.100000000000001" customHeight="1" x14ac:dyDescent="0.25">
      <c r="A100" s="14" t="s">
        <v>408</v>
      </c>
      <c r="B100" s="15">
        <v>0.39800000000000002</v>
      </c>
      <c r="C100" s="16">
        <v>0.30000000000000004</v>
      </c>
      <c r="D100" s="17">
        <v>21464.400000000001</v>
      </c>
      <c r="E100" s="17">
        <v>0</v>
      </c>
      <c r="F100" s="17">
        <v>0</v>
      </c>
      <c r="G100" s="17">
        <v>0</v>
      </c>
      <c r="H100" s="17">
        <v>0</v>
      </c>
      <c r="I100" s="17">
        <v>21464.400000000001</v>
      </c>
      <c r="J100" s="17">
        <v>0</v>
      </c>
      <c r="K100" s="17">
        <f t="shared" si="15"/>
        <v>0</v>
      </c>
      <c r="L100" s="17">
        <v>21464</v>
      </c>
      <c r="M100" s="17">
        <f t="shared" si="13"/>
        <v>21464</v>
      </c>
      <c r="N100" s="17">
        <v>0</v>
      </c>
      <c r="O100" s="17">
        <f t="shared" si="14"/>
        <v>21464</v>
      </c>
      <c r="P100" s="17">
        <v>0</v>
      </c>
      <c r="Q100" s="17">
        <v>21464</v>
      </c>
      <c r="R100" s="17">
        <v>0</v>
      </c>
      <c r="S100" s="17">
        <f t="shared" si="16"/>
        <v>21464</v>
      </c>
      <c r="T100" s="8">
        <f t="shared" si="17"/>
        <v>0.40000000000145519</v>
      </c>
      <c r="U100" s="4" t="s">
        <v>409</v>
      </c>
      <c r="V100" s="18" t="s">
        <v>410</v>
      </c>
      <c r="W100" s="4" t="s">
        <v>411</v>
      </c>
      <c r="X100" s="4"/>
      <c r="Y100" s="3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</row>
    <row r="101" spans="1:251" s="29" customFormat="1" ht="21" customHeight="1" x14ac:dyDescent="0.25">
      <c r="A101" s="32" t="s">
        <v>412</v>
      </c>
      <c r="B101" s="32">
        <v>0.38200000000000001</v>
      </c>
      <c r="C101" s="33">
        <v>0.30000000000000004</v>
      </c>
      <c r="D101" s="34">
        <v>219.99999999999636</v>
      </c>
      <c r="E101" s="34">
        <v>0</v>
      </c>
      <c r="F101" s="34">
        <v>0</v>
      </c>
      <c r="G101" s="34">
        <v>0</v>
      </c>
      <c r="H101" s="34">
        <v>0</v>
      </c>
      <c r="I101" s="34">
        <v>219.99999999999636</v>
      </c>
      <c r="J101" s="34">
        <v>0</v>
      </c>
      <c r="K101" s="34">
        <f t="shared" si="15"/>
        <v>0</v>
      </c>
      <c r="L101" s="34">
        <v>220</v>
      </c>
      <c r="M101" s="34">
        <f t="shared" si="13"/>
        <v>220</v>
      </c>
      <c r="N101" s="34">
        <v>0</v>
      </c>
      <c r="O101" s="34">
        <f t="shared" si="14"/>
        <v>220</v>
      </c>
      <c r="P101" s="35">
        <v>0</v>
      </c>
      <c r="Q101" s="35">
        <v>220</v>
      </c>
      <c r="R101" s="35">
        <v>0</v>
      </c>
      <c r="S101" s="35">
        <f t="shared" si="16"/>
        <v>220</v>
      </c>
      <c r="T101" s="26">
        <f t="shared" si="17"/>
        <v>-3.637978807091713E-12</v>
      </c>
      <c r="U101" s="27" t="s">
        <v>413</v>
      </c>
      <c r="V101" s="28" t="s">
        <v>414</v>
      </c>
      <c r="W101" s="27" t="s">
        <v>415</v>
      </c>
      <c r="X101" s="27"/>
      <c r="Y101" s="7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/>
      <c r="CI101" s="25"/>
      <c r="CJ101" s="25"/>
      <c r="CK101" s="25"/>
      <c r="CL101" s="25"/>
      <c r="CM101" s="25"/>
      <c r="CN101" s="25"/>
      <c r="CO101" s="25"/>
      <c r="CP101" s="25"/>
      <c r="CQ101" s="25"/>
      <c r="CR101" s="25"/>
      <c r="CS101" s="25"/>
      <c r="CT101" s="25"/>
      <c r="CU101" s="25"/>
      <c r="CV101" s="25"/>
      <c r="CW101" s="25"/>
      <c r="CX101" s="25"/>
      <c r="CY101" s="25"/>
      <c r="CZ101" s="25"/>
      <c r="DA101" s="25"/>
      <c r="DB101" s="25"/>
      <c r="DC101" s="25"/>
      <c r="DD101" s="25"/>
      <c r="DE101" s="25"/>
      <c r="DF101" s="25"/>
      <c r="DG101" s="25"/>
      <c r="DH101" s="25"/>
      <c r="DI101" s="25"/>
      <c r="DJ101" s="25"/>
      <c r="DK101" s="25"/>
      <c r="DL101" s="25"/>
      <c r="DM101" s="25"/>
      <c r="DN101" s="25"/>
      <c r="DO101" s="25"/>
      <c r="DP101" s="25"/>
      <c r="DQ101" s="25"/>
      <c r="DR101" s="25"/>
      <c r="DS101" s="25"/>
      <c r="DT101" s="25"/>
      <c r="DU101" s="25"/>
      <c r="DV101" s="25"/>
      <c r="DW101" s="25"/>
      <c r="DX101" s="25"/>
      <c r="DY101" s="25"/>
      <c r="DZ101" s="25"/>
      <c r="EA101" s="25"/>
      <c r="EB101" s="25"/>
      <c r="EC101" s="25"/>
      <c r="ED101" s="25"/>
      <c r="EE101" s="25"/>
      <c r="EF101" s="25"/>
      <c r="EG101" s="25"/>
      <c r="EH101" s="25"/>
      <c r="EI101" s="25"/>
      <c r="EJ101" s="25"/>
      <c r="EK101" s="25"/>
      <c r="EL101" s="25"/>
      <c r="EM101" s="25"/>
      <c r="EN101" s="25"/>
      <c r="EO101" s="25"/>
      <c r="EP101" s="25"/>
      <c r="EQ101" s="25"/>
      <c r="ER101" s="25"/>
      <c r="ES101" s="25"/>
      <c r="ET101" s="25"/>
      <c r="EU101" s="25"/>
      <c r="EV101" s="25"/>
      <c r="EW101" s="25"/>
      <c r="EX101" s="25"/>
      <c r="EY101" s="25"/>
      <c r="EZ101" s="25"/>
      <c r="FA101" s="25"/>
      <c r="FB101" s="25"/>
      <c r="FC101" s="25"/>
      <c r="FD101" s="25"/>
      <c r="FE101" s="25"/>
      <c r="FF101" s="25"/>
      <c r="FG101" s="25"/>
      <c r="FH101" s="25"/>
      <c r="FI101" s="25"/>
      <c r="FJ101" s="25"/>
      <c r="FK101" s="25"/>
      <c r="FL101" s="25"/>
      <c r="FM101" s="25"/>
      <c r="FN101" s="25"/>
      <c r="FO101" s="25"/>
      <c r="FP101" s="25"/>
      <c r="FQ101" s="25"/>
      <c r="FR101" s="25"/>
      <c r="FS101" s="25"/>
      <c r="FT101" s="25"/>
      <c r="FU101" s="25"/>
      <c r="FV101" s="25"/>
      <c r="FW101" s="25"/>
      <c r="FX101" s="25"/>
      <c r="FY101" s="25"/>
      <c r="FZ101" s="25"/>
      <c r="GA101" s="25"/>
      <c r="GB101" s="25"/>
      <c r="GC101" s="25"/>
      <c r="GD101" s="25"/>
      <c r="GE101" s="25"/>
      <c r="GF101" s="25"/>
      <c r="GG101" s="25"/>
      <c r="GH101" s="25"/>
      <c r="GI101" s="25"/>
      <c r="GJ101" s="25"/>
      <c r="GK101" s="25"/>
      <c r="GL101" s="25"/>
      <c r="GM101" s="25"/>
      <c r="GN101" s="25"/>
      <c r="GO101" s="25"/>
      <c r="GP101" s="25"/>
    </row>
    <row r="102" spans="1:251" s="5" customFormat="1" ht="17.100000000000001" customHeight="1" x14ac:dyDescent="0.25">
      <c r="A102" s="14" t="s">
        <v>186</v>
      </c>
      <c r="B102" s="15"/>
      <c r="C102" s="16">
        <v>0.4</v>
      </c>
      <c r="D102" s="17">
        <v>5000</v>
      </c>
      <c r="E102" s="17">
        <v>22978.18</v>
      </c>
      <c r="F102" s="17">
        <v>12500</v>
      </c>
      <c r="G102" s="17">
        <v>7500</v>
      </c>
      <c r="H102" s="17">
        <v>5000</v>
      </c>
      <c r="I102" s="17">
        <v>0</v>
      </c>
      <c r="J102" s="17">
        <v>4728</v>
      </c>
      <c r="K102" s="17">
        <f t="shared" si="15"/>
        <v>1891.2</v>
      </c>
      <c r="L102" s="17">
        <v>0</v>
      </c>
      <c r="M102" s="17">
        <f t="shared" si="13"/>
        <v>1891.2</v>
      </c>
      <c r="N102" s="17">
        <v>0</v>
      </c>
      <c r="O102" s="17">
        <f t="shared" si="14"/>
        <v>1891.2</v>
      </c>
      <c r="P102" s="17">
        <f>4728*C102</f>
        <v>1891.2</v>
      </c>
      <c r="Q102" s="17">
        <v>0</v>
      </c>
      <c r="R102" s="17">
        <v>0</v>
      </c>
      <c r="S102" s="17">
        <f t="shared" si="16"/>
        <v>1891.2</v>
      </c>
      <c r="T102" s="8">
        <f t="shared" si="17"/>
        <v>3108.8</v>
      </c>
      <c r="U102" s="4" t="s">
        <v>20</v>
      </c>
      <c r="V102" s="18" t="s">
        <v>21</v>
      </c>
      <c r="W102" s="4" t="s">
        <v>187</v>
      </c>
      <c r="X102" s="4"/>
      <c r="Y102" s="3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</row>
    <row r="103" spans="1:251" s="29" customFormat="1" ht="21" customHeight="1" x14ac:dyDescent="0.25">
      <c r="A103" s="32" t="s">
        <v>416</v>
      </c>
      <c r="B103" s="32">
        <v>0.20599999999999999</v>
      </c>
      <c r="C103" s="33">
        <v>0.5</v>
      </c>
      <c r="D103" s="34">
        <v>16000</v>
      </c>
      <c r="E103" s="34">
        <v>5500</v>
      </c>
      <c r="F103" s="34">
        <v>11000</v>
      </c>
      <c r="G103" s="34">
        <v>5500</v>
      </c>
      <c r="H103" s="34">
        <v>5500</v>
      </c>
      <c r="I103" s="34">
        <v>10500</v>
      </c>
      <c r="J103" s="34">
        <v>22000</v>
      </c>
      <c r="K103" s="34">
        <f t="shared" si="15"/>
        <v>11000</v>
      </c>
      <c r="L103" s="34">
        <v>0</v>
      </c>
      <c r="M103" s="34">
        <f t="shared" si="13"/>
        <v>11000</v>
      </c>
      <c r="N103" s="34">
        <v>0</v>
      </c>
      <c r="O103" s="34">
        <f t="shared" si="14"/>
        <v>11000</v>
      </c>
      <c r="P103" s="35">
        <f>7000*C103</f>
        <v>3500</v>
      </c>
      <c r="Q103" s="35">
        <v>0</v>
      </c>
      <c r="R103" s="35">
        <v>10000</v>
      </c>
      <c r="S103" s="35">
        <f t="shared" si="16"/>
        <v>13500</v>
      </c>
      <c r="T103" s="26">
        <f t="shared" si="17"/>
        <v>2500</v>
      </c>
      <c r="U103" s="27" t="s">
        <v>417</v>
      </c>
      <c r="V103" s="28" t="s">
        <v>418</v>
      </c>
      <c r="W103" s="27" t="s">
        <v>419</v>
      </c>
      <c r="X103" s="27"/>
      <c r="Y103" s="7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  <c r="BX103" s="25"/>
      <c r="BY103" s="25"/>
      <c r="BZ103" s="25"/>
      <c r="CA103" s="25"/>
      <c r="CB103" s="25"/>
      <c r="CC103" s="25"/>
      <c r="CD103" s="25"/>
      <c r="CE103" s="25"/>
      <c r="CF103" s="25"/>
      <c r="CG103" s="25"/>
      <c r="CH103" s="25"/>
      <c r="CI103" s="25"/>
      <c r="CJ103" s="25"/>
      <c r="CK103" s="25"/>
      <c r="CL103" s="25"/>
      <c r="CM103" s="25"/>
      <c r="CN103" s="25"/>
      <c r="CO103" s="25"/>
      <c r="CP103" s="25"/>
      <c r="CQ103" s="25"/>
      <c r="CR103" s="25"/>
      <c r="CS103" s="25"/>
      <c r="CT103" s="25"/>
      <c r="CU103" s="25"/>
      <c r="CV103" s="25"/>
      <c r="CW103" s="25"/>
      <c r="CX103" s="25"/>
      <c r="CY103" s="25"/>
      <c r="CZ103" s="25"/>
      <c r="DA103" s="25"/>
      <c r="DB103" s="25"/>
      <c r="DC103" s="25"/>
      <c r="DD103" s="25"/>
      <c r="DE103" s="25"/>
      <c r="DF103" s="25"/>
      <c r="DG103" s="25"/>
      <c r="DH103" s="25"/>
      <c r="DI103" s="25"/>
      <c r="DJ103" s="25"/>
      <c r="DK103" s="25"/>
      <c r="DL103" s="25"/>
      <c r="DM103" s="25"/>
      <c r="DN103" s="25"/>
      <c r="DO103" s="25"/>
      <c r="DP103" s="25"/>
      <c r="DQ103" s="25"/>
      <c r="DR103" s="25"/>
      <c r="DS103" s="25"/>
      <c r="DT103" s="25"/>
      <c r="DU103" s="25"/>
      <c r="DV103" s="25"/>
      <c r="DW103" s="25"/>
      <c r="DX103" s="25"/>
      <c r="DY103" s="25"/>
      <c r="DZ103" s="25"/>
      <c r="EA103" s="25"/>
      <c r="EB103" s="25"/>
      <c r="EC103" s="25"/>
      <c r="ED103" s="25"/>
      <c r="EE103" s="25"/>
      <c r="EF103" s="25"/>
      <c r="EG103" s="25"/>
      <c r="EH103" s="25"/>
      <c r="EI103" s="25"/>
      <c r="EJ103" s="25"/>
      <c r="EK103" s="25"/>
      <c r="EL103" s="25"/>
      <c r="EM103" s="25"/>
      <c r="EN103" s="25"/>
      <c r="EO103" s="25"/>
      <c r="EP103" s="25"/>
      <c r="EQ103" s="25"/>
      <c r="ER103" s="25"/>
      <c r="ES103" s="25"/>
      <c r="ET103" s="25"/>
      <c r="EU103" s="25"/>
      <c r="EV103" s="25"/>
      <c r="EW103" s="25"/>
      <c r="EX103" s="25"/>
      <c r="EY103" s="25"/>
      <c r="EZ103" s="25"/>
      <c r="FA103" s="25"/>
      <c r="FB103" s="25"/>
      <c r="FC103" s="25"/>
      <c r="FD103" s="25"/>
      <c r="FE103" s="25"/>
      <c r="FF103" s="25"/>
      <c r="FG103" s="25"/>
      <c r="FH103" s="25"/>
      <c r="FI103" s="25"/>
      <c r="FJ103" s="25"/>
      <c r="FK103" s="25"/>
      <c r="FL103" s="25"/>
      <c r="FM103" s="25"/>
      <c r="FN103" s="25"/>
      <c r="FO103" s="25"/>
      <c r="FP103" s="25"/>
      <c r="FQ103" s="25"/>
      <c r="FR103" s="25"/>
      <c r="FS103" s="25"/>
      <c r="FT103" s="25"/>
      <c r="FU103" s="25"/>
      <c r="FV103" s="25"/>
      <c r="FW103" s="25"/>
      <c r="FX103" s="25"/>
      <c r="FY103" s="25"/>
      <c r="FZ103" s="25"/>
      <c r="GA103" s="25"/>
      <c r="GB103" s="25"/>
      <c r="GC103" s="25"/>
      <c r="GD103" s="25"/>
      <c r="GE103" s="25"/>
      <c r="GF103" s="25"/>
      <c r="GG103" s="25"/>
      <c r="GH103" s="25"/>
      <c r="GI103" s="25"/>
      <c r="GJ103" s="25"/>
      <c r="GK103" s="25"/>
      <c r="GL103" s="25"/>
      <c r="GM103" s="25"/>
      <c r="GN103" s="25"/>
      <c r="GO103" s="25"/>
      <c r="GP103" s="25"/>
    </row>
    <row r="104" spans="1:251" s="5" customFormat="1" ht="17.100000000000001" customHeight="1" x14ac:dyDescent="0.25">
      <c r="A104" s="14" t="s">
        <v>420</v>
      </c>
      <c r="B104" s="15">
        <v>0.14699999999999999</v>
      </c>
      <c r="C104" s="16">
        <v>0.5</v>
      </c>
      <c r="D104" s="17">
        <v>22160</v>
      </c>
      <c r="E104" s="17"/>
      <c r="F104" s="17">
        <v>44310</v>
      </c>
      <c r="G104" s="17"/>
      <c r="H104" s="17"/>
      <c r="I104" s="17">
        <v>0</v>
      </c>
      <c r="J104" s="17">
        <v>22000</v>
      </c>
      <c r="K104" s="17">
        <f t="shared" si="15"/>
        <v>11000</v>
      </c>
      <c r="L104" s="17">
        <v>0</v>
      </c>
      <c r="M104" s="17">
        <f t="shared" si="13"/>
        <v>11000</v>
      </c>
      <c r="N104" s="17">
        <v>0</v>
      </c>
      <c r="O104" s="17">
        <f t="shared" si="14"/>
        <v>11000</v>
      </c>
      <c r="P104" s="17">
        <f>22000*C104</f>
        <v>11000</v>
      </c>
      <c r="Q104" s="17">
        <v>0</v>
      </c>
      <c r="R104" s="17">
        <v>0</v>
      </c>
      <c r="S104" s="17">
        <f t="shared" si="16"/>
        <v>11000</v>
      </c>
      <c r="T104" s="8">
        <f t="shared" si="17"/>
        <v>11160</v>
      </c>
      <c r="U104" s="4" t="s">
        <v>421</v>
      </c>
      <c r="V104" s="18" t="s">
        <v>422</v>
      </c>
      <c r="W104" s="4" t="s">
        <v>423</v>
      </c>
      <c r="X104" s="4"/>
      <c r="Y104" s="3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</row>
    <row r="105" spans="1:251" s="29" customFormat="1" ht="21" customHeight="1" x14ac:dyDescent="0.25">
      <c r="A105" s="32" t="s">
        <v>188</v>
      </c>
      <c r="B105" s="32"/>
      <c r="C105" s="33">
        <v>0.4</v>
      </c>
      <c r="D105" s="34">
        <v>4597</v>
      </c>
      <c r="E105" s="34">
        <v>11259.12</v>
      </c>
      <c r="F105" s="34">
        <v>11492.5</v>
      </c>
      <c r="G105" s="34">
        <v>6895.5</v>
      </c>
      <c r="H105" s="34">
        <v>4597</v>
      </c>
      <c r="I105" s="34">
        <v>0</v>
      </c>
      <c r="J105" s="34">
        <v>744</v>
      </c>
      <c r="K105" s="34">
        <f t="shared" si="15"/>
        <v>297.60000000000002</v>
      </c>
      <c r="L105" s="34">
        <v>0</v>
      </c>
      <c r="M105" s="34">
        <f t="shared" si="13"/>
        <v>297.60000000000002</v>
      </c>
      <c r="N105" s="34">
        <v>0</v>
      </c>
      <c r="O105" s="34">
        <f t="shared" si="14"/>
        <v>297.60000000000002</v>
      </c>
      <c r="P105" s="35">
        <f>744*C105</f>
        <v>297.60000000000002</v>
      </c>
      <c r="Q105" s="35">
        <v>0</v>
      </c>
      <c r="R105" s="35">
        <v>0</v>
      </c>
      <c r="S105" s="35">
        <f t="shared" si="16"/>
        <v>297.60000000000002</v>
      </c>
      <c r="T105" s="26">
        <f t="shared" si="17"/>
        <v>4299.3999999999996</v>
      </c>
      <c r="U105" s="27" t="s">
        <v>189</v>
      </c>
      <c r="V105" s="28" t="s">
        <v>190</v>
      </c>
      <c r="W105" s="27" t="s">
        <v>191</v>
      </c>
      <c r="X105" s="27"/>
      <c r="Y105" s="7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5"/>
      <c r="DC105" s="25"/>
      <c r="DD105" s="25"/>
      <c r="DE105" s="25"/>
      <c r="DF105" s="25"/>
      <c r="DG105" s="25"/>
      <c r="DH105" s="25"/>
      <c r="DI105" s="25"/>
      <c r="DJ105" s="25"/>
      <c r="DK105" s="25"/>
      <c r="DL105" s="25"/>
      <c r="DM105" s="25"/>
      <c r="DN105" s="25"/>
      <c r="DO105" s="25"/>
      <c r="DP105" s="25"/>
      <c r="DQ105" s="25"/>
      <c r="DR105" s="25"/>
      <c r="DS105" s="25"/>
      <c r="DT105" s="25"/>
      <c r="DU105" s="25"/>
      <c r="DV105" s="25"/>
      <c r="DW105" s="25"/>
      <c r="DX105" s="25"/>
      <c r="DY105" s="25"/>
      <c r="DZ105" s="25"/>
      <c r="EA105" s="25"/>
      <c r="EB105" s="25"/>
      <c r="EC105" s="25"/>
      <c r="ED105" s="25"/>
      <c r="EE105" s="25"/>
      <c r="EF105" s="25"/>
      <c r="EG105" s="25"/>
      <c r="EH105" s="25"/>
      <c r="EI105" s="25"/>
      <c r="EJ105" s="25"/>
      <c r="EK105" s="25"/>
      <c r="EL105" s="25"/>
      <c r="EM105" s="25"/>
      <c r="EN105" s="25"/>
      <c r="EO105" s="25"/>
      <c r="EP105" s="25"/>
      <c r="EQ105" s="25"/>
      <c r="ER105" s="25"/>
      <c r="ES105" s="25"/>
      <c r="ET105" s="25"/>
      <c r="EU105" s="25"/>
      <c r="EV105" s="25"/>
      <c r="EW105" s="25"/>
      <c r="EX105" s="25"/>
      <c r="EY105" s="25"/>
      <c r="EZ105" s="25"/>
      <c r="FA105" s="25"/>
      <c r="FB105" s="25"/>
      <c r="FC105" s="25"/>
      <c r="FD105" s="25"/>
      <c r="FE105" s="25"/>
      <c r="FF105" s="25"/>
      <c r="FG105" s="25"/>
      <c r="FH105" s="25"/>
      <c r="FI105" s="25"/>
      <c r="FJ105" s="25"/>
      <c r="FK105" s="25"/>
      <c r="FL105" s="25"/>
      <c r="FM105" s="25"/>
      <c r="FN105" s="25"/>
      <c r="FO105" s="25"/>
      <c r="FP105" s="25"/>
      <c r="FQ105" s="25"/>
      <c r="FR105" s="25"/>
      <c r="FS105" s="25"/>
      <c r="FT105" s="25"/>
      <c r="FU105" s="25"/>
      <c r="FV105" s="25"/>
      <c r="FW105" s="25"/>
      <c r="FX105" s="25"/>
      <c r="FY105" s="25"/>
      <c r="FZ105" s="25"/>
      <c r="GA105" s="25"/>
      <c r="GB105" s="25"/>
      <c r="GC105" s="25"/>
      <c r="GD105" s="25"/>
      <c r="GE105" s="25"/>
      <c r="GF105" s="25"/>
      <c r="GG105" s="25"/>
      <c r="GH105" s="25"/>
      <c r="GI105" s="25"/>
      <c r="GJ105" s="25"/>
      <c r="GK105" s="25"/>
      <c r="GL105" s="25"/>
      <c r="GM105" s="25"/>
      <c r="GN105" s="25"/>
      <c r="GO105" s="25"/>
      <c r="GP105" s="25"/>
    </row>
    <row r="106" spans="1:251" s="5" customFormat="1" ht="17.100000000000001" customHeight="1" x14ac:dyDescent="0.25">
      <c r="A106" s="14" t="s">
        <v>424</v>
      </c>
      <c r="B106" s="15">
        <v>0.441</v>
      </c>
      <c r="C106" s="16">
        <v>0.4</v>
      </c>
      <c r="D106" s="17">
        <v>60000</v>
      </c>
      <c r="E106" s="17">
        <v>35400</v>
      </c>
      <c r="F106" s="17">
        <v>59000</v>
      </c>
      <c r="G106" s="17">
        <v>35400</v>
      </c>
      <c r="H106" s="17">
        <v>23600</v>
      </c>
      <c r="I106" s="17">
        <v>36400</v>
      </c>
      <c r="J106" s="17">
        <v>59000</v>
      </c>
      <c r="K106" s="17">
        <f t="shared" si="15"/>
        <v>23600</v>
      </c>
      <c r="L106" s="17">
        <v>36400</v>
      </c>
      <c r="M106" s="17">
        <f t="shared" si="13"/>
        <v>60000</v>
      </c>
      <c r="N106" s="17">
        <v>0</v>
      </c>
      <c r="O106" s="17">
        <f t="shared" si="14"/>
        <v>60000</v>
      </c>
      <c r="P106" s="17">
        <f>59000*C106</f>
        <v>23600</v>
      </c>
      <c r="Q106" s="17">
        <v>36400</v>
      </c>
      <c r="R106" s="17">
        <v>0</v>
      </c>
      <c r="S106" s="17">
        <f t="shared" si="16"/>
        <v>60000</v>
      </c>
      <c r="T106" s="8">
        <f t="shared" si="17"/>
        <v>0</v>
      </c>
      <c r="U106" s="4" t="s">
        <v>425</v>
      </c>
      <c r="V106" s="18" t="s">
        <v>426</v>
      </c>
      <c r="W106" s="4" t="s">
        <v>427</v>
      </c>
      <c r="X106" s="4"/>
      <c r="Y106" s="3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</row>
    <row r="107" spans="1:251" s="29" customFormat="1" ht="21" customHeight="1" x14ac:dyDescent="0.25">
      <c r="A107" s="32" t="s">
        <v>428</v>
      </c>
      <c r="B107" s="32">
        <v>0.55000000000000004</v>
      </c>
      <c r="C107" s="33">
        <v>0.30000000000000004</v>
      </c>
      <c r="D107" s="34">
        <v>6451.4999999999964</v>
      </c>
      <c r="E107" s="34">
        <v>0</v>
      </c>
      <c r="F107" s="34">
        <v>0</v>
      </c>
      <c r="G107" s="34">
        <v>0</v>
      </c>
      <c r="H107" s="34">
        <v>0</v>
      </c>
      <c r="I107" s="34">
        <v>6451.4999999999964</v>
      </c>
      <c r="J107" s="34">
        <v>0</v>
      </c>
      <c r="K107" s="34">
        <v>0</v>
      </c>
      <c r="L107" s="34">
        <v>6452</v>
      </c>
      <c r="M107" s="34">
        <f t="shared" si="13"/>
        <v>6452</v>
      </c>
      <c r="N107" s="34">
        <v>0</v>
      </c>
      <c r="O107" s="34">
        <f t="shared" si="14"/>
        <v>6452</v>
      </c>
      <c r="P107" s="35">
        <v>0</v>
      </c>
      <c r="Q107" s="35">
        <v>6452</v>
      </c>
      <c r="R107" s="35">
        <v>0</v>
      </c>
      <c r="S107" s="35">
        <f t="shared" si="16"/>
        <v>6452</v>
      </c>
      <c r="T107" s="26">
        <f t="shared" si="17"/>
        <v>-0.50000000000363798</v>
      </c>
      <c r="U107" s="27" t="s">
        <v>429</v>
      </c>
      <c r="V107" s="28" t="s">
        <v>430</v>
      </c>
      <c r="W107" s="27" t="s">
        <v>431</v>
      </c>
      <c r="X107" s="27" t="s">
        <v>432</v>
      </c>
      <c r="Y107" s="7" t="s">
        <v>446</v>
      </c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25"/>
      <c r="CJ107" s="25"/>
      <c r="CK107" s="25"/>
      <c r="CL107" s="25"/>
      <c r="CM107" s="25"/>
      <c r="CN107" s="25"/>
      <c r="CO107" s="25"/>
      <c r="CP107" s="25"/>
      <c r="CQ107" s="25"/>
      <c r="CR107" s="25"/>
      <c r="CS107" s="25"/>
      <c r="CT107" s="25"/>
      <c r="CU107" s="25"/>
      <c r="CV107" s="25"/>
      <c r="CW107" s="25"/>
      <c r="CX107" s="25"/>
      <c r="CY107" s="25"/>
      <c r="CZ107" s="25"/>
      <c r="DA107" s="25"/>
      <c r="DB107" s="25"/>
      <c r="DC107" s="25"/>
      <c r="DD107" s="25"/>
      <c r="DE107" s="25"/>
      <c r="DF107" s="25"/>
      <c r="DG107" s="25"/>
      <c r="DH107" s="25"/>
      <c r="DI107" s="25"/>
      <c r="DJ107" s="25"/>
      <c r="DK107" s="25"/>
      <c r="DL107" s="25"/>
      <c r="DM107" s="25"/>
      <c r="DN107" s="25"/>
      <c r="DO107" s="25"/>
      <c r="DP107" s="25"/>
      <c r="DQ107" s="25"/>
      <c r="DR107" s="25"/>
      <c r="DS107" s="25"/>
      <c r="DT107" s="25"/>
      <c r="DU107" s="25"/>
      <c r="DV107" s="25"/>
      <c r="DW107" s="25"/>
      <c r="DX107" s="25"/>
      <c r="DY107" s="25"/>
      <c r="DZ107" s="25"/>
      <c r="EA107" s="25"/>
      <c r="EB107" s="25"/>
      <c r="EC107" s="25"/>
      <c r="ED107" s="25"/>
      <c r="EE107" s="25"/>
      <c r="EF107" s="25"/>
      <c r="EG107" s="25"/>
      <c r="EH107" s="25"/>
      <c r="EI107" s="25"/>
      <c r="EJ107" s="25"/>
      <c r="EK107" s="25"/>
      <c r="EL107" s="25"/>
      <c r="EM107" s="25"/>
      <c r="EN107" s="25"/>
      <c r="EO107" s="25"/>
      <c r="EP107" s="25"/>
      <c r="EQ107" s="25"/>
      <c r="ER107" s="25"/>
      <c r="ES107" s="25"/>
      <c r="ET107" s="25"/>
      <c r="EU107" s="25"/>
      <c r="EV107" s="25"/>
      <c r="EW107" s="25"/>
      <c r="EX107" s="25"/>
      <c r="EY107" s="25"/>
      <c r="EZ107" s="25"/>
      <c r="FA107" s="25"/>
      <c r="FB107" s="25"/>
      <c r="FC107" s="25"/>
      <c r="FD107" s="25"/>
      <c r="FE107" s="25"/>
      <c r="FF107" s="25"/>
      <c r="FG107" s="25"/>
      <c r="FH107" s="25"/>
      <c r="FI107" s="25"/>
      <c r="FJ107" s="25"/>
      <c r="FK107" s="25"/>
      <c r="FL107" s="25"/>
      <c r="FM107" s="25"/>
      <c r="FN107" s="25"/>
      <c r="FO107" s="25"/>
      <c r="FP107" s="25"/>
      <c r="FQ107" s="25"/>
      <c r="FR107" s="25"/>
      <c r="FS107" s="25"/>
      <c r="FT107" s="25"/>
      <c r="FU107" s="25"/>
      <c r="FV107" s="25"/>
      <c r="FW107" s="25"/>
      <c r="FX107" s="25"/>
      <c r="FY107" s="25"/>
      <c r="FZ107" s="25"/>
      <c r="GA107" s="25"/>
      <c r="GB107" s="25"/>
      <c r="GC107" s="25"/>
      <c r="GD107" s="25"/>
      <c r="GE107" s="25"/>
      <c r="GF107" s="25"/>
      <c r="GG107" s="25"/>
      <c r="GH107" s="25"/>
      <c r="GI107" s="25"/>
      <c r="GJ107" s="25"/>
      <c r="GK107" s="25"/>
      <c r="GL107" s="25"/>
      <c r="GM107" s="25"/>
      <c r="GN107" s="25"/>
      <c r="GO107" s="25"/>
      <c r="GP107" s="25"/>
    </row>
    <row r="108" spans="1:251" s="5" customFormat="1" ht="17.100000000000001" customHeight="1" x14ac:dyDescent="0.25">
      <c r="A108" s="14" t="s">
        <v>192</v>
      </c>
      <c r="B108" s="15"/>
      <c r="C108" s="16">
        <v>0.30000000000000004</v>
      </c>
      <c r="D108" s="17">
        <v>4698</v>
      </c>
      <c r="E108" s="17">
        <v>9582.23</v>
      </c>
      <c r="F108" s="17">
        <v>13688.9</v>
      </c>
      <c r="G108" s="17">
        <v>9582.23</v>
      </c>
      <c r="H108" s="17">
        <v>4106.67</v>
      </c>
      <c r="I108" s="17">
        <v>591.32999999999993</v>
      </c>
      <c r="J108" s="17">
        <v>780</v>
      </c>
      <c r="K108" s="17">
        <f t="shared" ref="K108:K116" si="18">J108*C108</f>
        <v>234.00000000000003</v>
      </c>
      <c r="L108" s="17">
        <v>0</v>
      </c>
      <c r="M108" s="17">
        <f t="shared" si="13"/>
        <v>234.00000000000003</v>
      </c>
      <c r="N108" s="17">
        <v>0</v>
      </c>
      <c r="O108" s="17">
        <f t="shared" si="14"/>
        <v>234.00000000000003</v>
      </c>
      <c r="P108" s="17">
        <f>780*C108</f>
        <v>234.00000000000003</v>
      </c>
      <c r="Q108" s="17">
        <v>0</v>
      </c>
      <c r="R108" s="17">
        <v>0</v>
      </c>
      <c r="S108" s="17">
        <f t="shared" si="16"/>
        <v>234.00000000000003</v>
      </c>
      <c r="T108" s="8">
        <f t="shared" si="17"/>
        <v>4464</v>
      </c>
      <c r="U108" s="4" t="s">
        <v>193</v>
      </c>
      <c r="V108" s="18" t="s">
        <v>194</v>
      </c>
      <c r="W108" s="4" t="s">
        <v>195</v>
      </c>
      <c r="X108" s="4"/>
      <c r="Y108" s="3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  <c r="IQ108" s="6"/>
    </row>
    <row r="109" spans="1:251" s="29" customFormat="1" ht="21" customHeight="1" x14ac:dyDescent="0.25">
      <c r="A109" s="32" t="s">
        <v>196</v>
      </c>
      <c r="B109" s="32"/>
      <c r="C109" s="33">
        <v>0.4</v>
      </c>
      <c r="D109" s="34">
        <v>7500</v>
      </c>
      <c r="E109" s="34">
        <v>9582.23</v>
      </c>
      <c r="F109" s="34">
        <v>15970.383333333333</v>
      </c>
      <c r="G109" s="34">
        <v>9582.23</v>
      </c>
      <c r="H109" s="34">
        <v>6388.1533333333336</v>
      </c>
      <c r="I109" s="34">
        <v>1111.8466666666664</v>
      </c>
      <c r="J109" s="34">
        <v>1168</v>
      </c>
      <c r="K109" s="34">
        <f t="shared" si="18"/>
        <v>467.20000000000005</v>
      </c>
      <c r="L109" s="34">
        <v>0</v>
      </c>
      <c r="M109" s="34">
        <f t="shared" si="13"/>
        <v>467.20000000000005</v>
      </c>
      <c r="N109" s="34">
        <v>0</v>
      </c>
      <c r="O109" s="34">
        <f t="shared" si="14"/>
        <v>467.20000000000005</v>
      </c>
      <c r="P109" s="35">
        <f>1168*C109</f>
        <v>467.20000000000005</v>
      </c>
      <c r="Q109" s="35">
        <v>0</v>
      </c>
      <c r="R109" s="35">
        <v>0</v>
      </c>
      <c r="S109" s="35">
        <f t="shared" si="16"/>
        <v>467.20000000000005</v>
      </c>
      <c r="T109" s="26">
        <f t="shared" si="17"/>
        <v>7032.8</v>
      </c>
      <c r="U109" s="27" t="s">
        <v>197</v>
      </c>
      <c r="V109" s="28" t="s">
        <v>198</v>
      </c>
      <c r="W109" s="27" t="s">
        <v>199</v>
      </c>
      <c r="X109" s="27"/>
      <c r="Y109" s="7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/>
      <c r="BZ109" s="25"/>
      <c r="CA109" s="25"/>
      <c r="CB109" s="25"/>
      <c r="CC109" s="25"/>
      <c r="CD109" s="25"/>
      <c r="CE109" s="25"/>
      <c r="CF109" s="25"/>
      <c r="CG109" s="25"/>
      <c r="CH109" s="25"/>
      <c r="CI109" s="25"/>
      <c r="CJ109" s="25"/>
      <c r="CK109" s="25"/>
      <c r="CL109" s="25"/>
      <c r="CM109" s="25"/>
      <c r="CN109" s="25"/>
      <c r="CO109" s="25"/>
      <c r="CP109" s="25"/>
      <c r="CQ109" s="25"/>
      <c r="CR109" s="25"/>
      <c r="CS109" s="25"/>
      <c r="CT109" s="25"/>
      <c r="CU109" s="25"/>
      <c r="CV109" s="25"/>
      <c r="CW109" s="25"/>
      <c r="CX109" s="25"/>
      <c r="CY109" s="25"/>
      <c r="CZ109" s="25"/>
      <c r="DA109" s="25"/>
      <c r="DB109" s="25"/>
      <c r="DC109" s="25"/>
      <c r="DD109" s="25"/>
      <c r="DE109" s="25"/>
      <c r="DF109" s="25"/>
      <c r="DG109" s="25"/>
      <c r="DH109" s="25"/>
      <c r="DI109" s="25"/>
      <c r="DJ109" s="25"/>
      <c r="DK109" s="25"/>
      <c r="DL109" s="25"/>
      <c r="DM109" s="25"/>
      <c r="DN109" s="25"/>
      <c r="DO109" s="25"/>
      <c r="DP109" s="25"/>
      <c r="DQ109" s="25"/>
      <c r="DR109" s="25"/>
      <c r="DS109" s="25"/>
      <c r="DT109" s="25"/>
      <c r="DU109" s="25"/>
      <c r="DV109" s="25"/>
      <c r="DW109" s="25"/>
      <c r="DX109" s="25"/>
      <c r="DY109" s="25"/>
      <c r="DZ109" s="25"/>
      <c r="EA109" s="25"/>
      <c r="EB109" s="25"/>
      <c r="EC109" s="25"/>
      <c r="ED109" s="25"/>
      <c r="EE109" s="25"/>
      <c r="EF109" s="25"/>
      <c r="EG109" s="25"/>
      <c r="EH109" s="25"/>
      <c r="EI109" s="25"/>
      <c r="EJ109" s="25"/>
      <c r="EK109" s="25"/>
      <c r="EL109" s="25"/>
      <c r="EM109" s="25"/>
      <c r="EN109" s="25"/>
      <c r="EO109" s="25"/>
      <c r="EP109" s="25"/>
      <c r="EQ109" s="25"/>
      <c r="ER109" s="25"/>
      <c r="ES109" s="25"/>
      <c r="ET109" s="25"/>
      <c r="EU109" s="25"/>
      <c r="EV109" s="25"/>
      <c r="EW109" s="25"/>
      <c r="EX109" s="25"/>
      <c r="EY109" s="25"/>
      <c r="EZ109" s="25"/>
      <c r="FA109" s="25"/>
      <c r="FB109" s="25"/>
      <c r="FC109" s="25"/>
      <c r="FD109" s="25"/>
      <c r="FE109" s="25"/>
      <c r="FF109" s="25"/>
      <c r="FG109" s="25"/>
      <c r="FH109" s="25"/>
      <c r="FI109" s="25"/>
      <c r="FJ109" s="25"/>
      <c r="FK109" s="25"/>
      <c r="FL109" s="25"/>
      <c r="FM109" s="25"/>
      <c r="FN109" s="25"/>
      <c r="FO109" s="25"/>
      <c r="FP109" s="25"/>
      <c r="FQ109" s="25"/>
      <c r="FR109" s="25"/>
      <c r="FS109" s="25"/>
      <c r="FT109" s="25"/>
      <c r="FU109" s="25"/>
      <c r="FV109" s="25"/>
      <c r="FW109" s="25"/>
      <c r="FX109" s="25"/>
      <c r="FY109" s="25"/>
      <c r="FZ109" s="25"/>
      <c r="GA109" s="25"/>
      <c r="GB109" s="25"/>
      <c r="GC109" s="25"/>
      <c r="GD109" s="25"/>
      <c r="GE109" s="25"/>
      <c r="GF109" s="25"/>
      <c r="GG109" s="25"/>
      <c r="GH109" s="25"/>
      <c r="GI109" s="25"/>
      <c r="GJ109" s="25"/>
      <c r="GK109" s="25"/>
      <c r="GL109" s="25"/>
      <c r="GM109" s="25"/>
      <c r="GN109" s="25"/>
      <c r="GO109" s="25"/>
      <c r="GP109" s="25"/>
    </row>
    <row r="110" spans="1:251" s="5" customFormat="1" ht="17.100000000000001" customHeight="1" x14ac:dyDescent="0.25">
      <c r="A110" s="14" t="s">
        <v>433</v>
      </c>
      <c r="B110" s="15">
        <v>0.35399999999999998</v>
      </c>
      <c r="C110" s="16">
        <v>0.4</v>
      </c>
      <c r="D110" s="17">
        <v>34600</v>
      </c>
      <c r="E110" s="17">
        <v>33000</v>
      </c>
      <c r="F110" s="17">
        <v>55000</v>
      </c>
      <c r="G110" s="17">
        <v>33000</v>
      </c>
      <c r="H110" s="17">
        <v>22000</v>
      </c>
      <c r="I110" s="17">
        <v>12600</v>
      </c>
      <c r="J110" s="17">
        <f>10546+12600</f>
        <v>23146</v>
      </c>
      <c r="K110" s="17">
        <f t="shared" si="18"/>
        <v>9258.4</v>
      </c>
      <c r="L110" s="17">
        <v>0</v>
      </c>
      <c r="M110" s="17">
        <f t="shared" si="13"/>
        <v>9258.4</v>
      </c>
      <c r="N110" s="17">
        <v>0</v>
      </c>
      <c r="O110" s="17">
        <f t="shared" si="14"/>
        <v>9258.4</v>
      </c>
      <c r="P110" s="17">
        <f>(10546+43400+4)*C110</f>
        <v>21580</v>
      </c>
      <c r="Q110" s="17">
        <f>12600-4</f>
        <v>12596</v>
      </c>
      <c r="R110" s="17">
        <v>0</v>
      </c>
      <c r="S110" s="17">
        <f t="shared" si="16"/>
        <v>34176</v>
      </c>
      <c r="T110" s="8">
        <f t="shared" si="17"/>
        <v>424</v>
      </c>
      <c r="U110" s="4" t="s">
        <v>434</v>
      </c>
      <c r="V110" s="18" t="s">
        <v>435</v>
      </c>
      <c r="W110" s="4" t="s">
        <v>436</v>
      </c>
      <c r="X110" s="4" t="s">
        <v>437</v>
      </c>
      <c r="Y110" s="3" t="s">
        <v>446</v>
      </c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6"/>
      <c r="IN110" s="6"/>
      <c r="IO110" s="6"/>
      <c r="IP110" s="6"/>
      <c r="IQ110" s="6"/>
    </row>
    <row r="111" spans="1:251" s="29" customFormat="1" ht="21" customHeight="1" x14ac:dyDescent="0.25">
      <c r="A111" s="32" t="s">
        <v>438</v>
      </c>
      <c r="B111" s="32">
        <v>0.46100000000000002</v>
      </c>
      <c r="C111" s="33">
        <v>0.30000000000000004</v>
      </c>
      <c r="D111" s="34">
        <v>19380</v>
      </c>
      <c r="E111" s="34">
        <v>4900</v>
      </c>
      <c r="F111" s="34">
        <v>7000</v>
      </c>
      <c r="G111" s="34">
        <v>4900</v>
      </c>
      <c r="H111" s="34">
        <v>2100.0000000000005</v>
      </c>
      <c r="I111" s="34">
        <v>17280</v>
      </c>
      <c r="J111" s="34">
        <v>7000</v>
      </c>
      <c r="K111" s="34">
        <f t="shared" si="18"/>
        <v>2100.0000000000005</v>
      </c>
      <c r="L111" s="34">
        <v>2100</v>
      </c>
      <c r="M111" s="34">
        <f t="shared" si="13"/>
        <v>4200</v>
      </c>
      <c r="N111" s="34">
        <v>8000</v>
      </c>
      <c r="O111" s="34">
        <f t="shared" si="14"/>
        <v>12200</v>
      </c>
      <c r="P111" s="35">
        <f>7000*C111</f>
        <v>2100.0000000000005</v>
      </c>
      <c r="Q111" s="35">
        <v>2100</v>
      </c>
      <c r="R111" s="35">
        <v>8000</v>
      </c>
      <c r="S111" s="35">
        <f t="shared" si="16"/>
        <v>12200</v>
      </c>
      <c r="T111" s="26">
        <f t="shared" si="17"/>
        <v>7180</v>
      </c>
      <c r="U111" s="27" t="s">
        <v>439</v>
      </c>
      <c r="V111" s="28" t="s">
        <v>440</v>
      </c>
      <c r="W111" s="27" t="s">
        <v>441</v>
      </c>
      <c r="X111" s="27"/>
      <c r="Y111" s="7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  <c r="CE111" s="25"/>
      <c r="CF111" s="25"/>
      <c r="CG111" s="25"/>
      <c r="CH111" s="25"/>
      <c r="CI111" s="25"/>
      <c r="CJ111" s="25"/>
      <c r="CK111" s="25"/>
      <c r="CL111" s="25"/>
      <c r="CM111" s="25"/>
      <c r="CN111" s="25"/>
      <c r="CO111" s="25"/>
      <c r="CP111" s="25"/>
      <c r="CQ111" s="25"/>
      <c r="CR111" s="25"/>
      <c r="CS111" s="25"/>
      <c r="CT111" s="25"/>
      <c r="CU111" s="25"/>
      <c r="CV111" s="25"/>
      <c r="CW111" s="25"/>
      <c r="CX111" s="25"/>
      <c r="CY111" s="25"/>
      <c r="CZ111" s="25"/>
      <c r="DA111" s="25"/>
      <c r="DB111" s="25"/>
      <c r="DC111" s="25"/>
      <c r="DD111" s="25"/>
      <c r="DE111" s="25"/>
      <c r="DF111" s="25"/>
      <c r="DG111" s="25"/>
      <c r="DH111" s="25"/>
      <c r="DI111" s="25"/>
      <c r="DJ111" s="25"/>
      <c r="DK111" s="25"/>
      <c r="DL111" s="25"/>
      <c r="DM111" s="25"/>
      <c r="DN111" s="25"/>
      <c r="DO111" s="25"/>
      <c r="DP111" s="25"/>
      <c r="DQ111" s="25"/>
      <c r="DR111" s="25"/>
      <c r="DS111" s="25"/>
      <c r="DT111" s="25"/>
      <c r="DU111" s="25"/>
      <c r="DV111" s="25"/>
      <c r="DW111" s="25"/>
      <c r="DX111" s="25"/>
      <c r="DY111" s="25"/>
      <c r="DZ111" s="25"/>
      <c r="EA111" s="25"/>
      <c r="EB111" s="25"/>
      <c r="EC111" s="25"/>
      <c r="ED111" s="25"/>
      <c r="EE111" s="25"/>
      <c r="EF111" s="25"/>
      <c r="EG111" s="25"/>
      <c r="EH111" s="25"/>
      <c r="EI111" s="25"/>
      <c r="EJ111" s="25"/>
      <c r="EK111" s="25"/>
      <c r="EL111" s="25"/>
      <c r="EM111" s="25"/>
      <c r="EN111" s="25"/>
      <c r="EO111" s="25"/>
      <c r="EP111" s="25"/>
      <c r="EQ111" s="25"/>
      <c r="ER111" s="25"/>
      <c r="ES111" s="25"/>
      <c r="ET111" s="25"/>
      <c r="EU111" s="25"/>
      <c r="EV111" s="25"/>
      <c r="EW111" s="25"/>
      <c r="EX111" s="25"/>
      <c r="EY111" s="25"/>
      <c r="EZ111" s="25"/>
      <c r="FA111" s="25"/>
      <c r="FB111" s="25"/>
      <c r="FC111" s="25"/>
      <c r="FD111" s="25"/>
      <c r="FE111" s="25"/>
      <c r="FF111" s="25"/>
      <c r="FG111" s="25"/>
      <c r="FH111" s="25"/>
      <c r="FI111" s="25"/>
      <c r="FJ111" s="25"/>
      <c r="FK111" s="25"/>
      <c r="FL111" s="25"/>
      <c r="FM111" s="25"/>
      <c r="FN111" s="25"/>
      <c r="FO111" s="25"/>
      <c r="FP111" s="25"/>
      <c r="FQ111" s="25"/>
      <c r="FR111" s="25"/>
      <c r="FS111" s="25"/>
      <c r="FT111" s="25"/>
      <c r="FU111" s="25"/>
      <c r="FV111" s="25"/>
      <c r="FW111" s="25"/>
      <c r="FX111" s="25"/>
      <c r="FY111" s="25"/>
      <c r="FZ111" s="25"/>
      <c r="GA111" s="25"/>
      <c r="GB111" s="25"/>
      <c r="GC111" s="25"/>
      <c r="GD111" s="25"/>
      <c r="GE111" s="25"/>
      <c r="GF111" s="25"/>
      <c r="GG111" s="25"/>
      <c r="GH111" s="25"/>
      <c r="GI111" s="25"/>
      <c r="GJ111" s="25"/>
      <c r="GK111" s="25"/>
      <c r="GL111" s="25"/>
      <c r="GM111" s="25"/>
      <c r="GN111" s="25"/>
      <c r="GO111" s="25"/>
      <c r="GP111" s="25"/>
    </row>
    <row r="112" spans="1:251" s="5" customFormat="1" ht="17.100000000000001" customHeight="1" x14ac:dyDescent="0.25">
      <c r="A112" s="14" t="s">
        <v>200</v>
      </c>
      <c r="B112" s="15"/>
      <c r="C112" s="16">
        <v>0.3</v>
      </c>
      <c r="D112" s="17">
        <v>10000</v>
      </c>
      <c r="E112" s="17" t="s">
        <v>24</v>
      </c>
      <c r="F112" s="17" t="s">
        <v>24</v>
      </c>
      <c r="G112" s="17" t="s">
        <v>24</v>
      </c>
      <c r="H112" s="17" t="s">
        <v>24</v>
      </c>
      <c r="I112" s="17" t="s">
        <v>24</v>
      </c>
      <c r="J112" s="17">
        <v>9000</v>
      </c>
      <c r="K112" s="17">
        <f t="shared" si="18"/>
        <v>2700</v>
      </c>
      <c r="L112" s="17">
        <v>0</v>
      </c>
      <c r="M112" s="17">
        <f t="shared" si="13"/>
        <v>2700</v>
      </c>
      <c r="N112" s="17">
        <v>0</v>
      </c>
      <c r="O112" s="17">
        <f t="shared" si="14"/>
        <v>2700</v>
      </c>
      <c r="P112" s="17">
        <f>9000*C112</f>
        <v>2700</v>
      </c>
      <c r="Q112" s="17">
        <v>0</v>
      </c>
      <c r="R112" s="17">
        <v>0</v>
      </c>
      <c r="S112" s="17">
        <f t="shared" si="16"/>
        <v>2700</v>
      </c>
      <c r="T112" s="8">
        <f t="shared" si="17"/>
        <v>7300</v>
      </c>
      <c r="U112" s="4" t="s">
        <v>201</v>
      </c>
      <c r="V112" s="18" t="s">
        <v>202</v>
      </c>
      <c r="W112" s="4" t="s">
        <v>203</v>
      </c>
      <c r="X112" s="4"/>
      <c r="Y112" s="3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  <c r="IM112" s="6"/>
      <c r="IN112" s="6"/>
      <c r="IO112" s="6"/>
      <c r="IP112" s="6"/>
      <c r="IQ112" s="6"/>
    </row>
    <row r="113" spans="1:251" s="29" customFormat="1" ht="21" customHeight="1" x14ac:dyDescent="0.25">
      <c r="A113" s="32" t="s">
        <v>204</v>
      </c>
      <c r="B113" s="32"/>
      <c r="C113" s="33">
        <v>0.19999999999999996</v>
      </c>
      <c r="D113" s="34">
        <v>7298</v>
      </c>
      <c r="E113" s="34">
        <v>9582.23</v>
      </c>
      <c r="F113" s="34">
        <v>11977.787499999999</v>
      </c>
      <c r="G113" s="34">
        <v>9582.23</v>
      </c>
      <c r="H113" s="34">
        <v>2395.557499999999</v>
      </c>
      <c r="I113" s="34">
        <v>4902.442500000001</v>
      </c>
      <c r="J113" s="34">
        <v>744</v>
      </c>
      <c r="K113" s="34">
        <f t="shared" si="18"/>
        <v>148.79999999999995</v>
      </c>
      <c r="L113" s="34">
        <v>0</v>
      </c>
      <c r="M113" s="34">
        <f t="shared" si="13"/>
        <v>148.79999999999995</v>
      </c>
      <c r="N113" s="34">
        <v>0</v>
      </c>
      <c r="O113" s="34">
        <f t="shared" si="14"/>
        <v>148.79999999999995</v>
      </c>
      <c r="P113" s="35">
        <f>744*C113</f>
        <v>148.79999999999995</v>
      </c>
      <c r="Q113" s="35">
        <v>0</v>
      </c>
      <c r="R113" s="35">
        <v>0</v>
      </c>
      <c r="S113" s="35">
        <f t="shared" si="16"/>
        <v>148.79999999999995</v>
      </c>
      <c r="T113" s="26">
        <f t="shared" si="17"/>
        <v>7149.2</v>
      </c>
      <c r="U113" s="27" t="s">
        <v>205</v>
      </c>
      <c r="V113" s="28" t="s">
        <v>206</v>
      </c>
      <c r="W113" s="27" t="s">
        <v>207</v>
      </c>
      <c r="X113" s="27"/>
      <c r="Y113" s="7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  <c r="CE113" s="25"/>
      <c r="CF113" s="25"/>
      <c r="CG113" s="25"/>
      <c r="CH113" s="25"/>
      <c r="CI113" s="25"/>
      <c r="CJ113" s="25"/>
      <c r="CK113" s="25"/>
      <c r="CL113" s="25"/>
      <c r="CM113" s="25"/>
      <c r="CN113" s="25"/>
      <c r="CO113" s="25"/>
      <c r="CP113" s="25"/>
      <c r="CQ113" s="25"/>
      <c r="CR113" s="25"/>
      <c r="CS113" s="25"/>
      <c r="CT113" s="25"/>
      <c r="CU113" s="25"/>
      <c r="CV113" s="25"/>
      <c r="CW113" s="25"/>
      <c r="CX113" s="25"/>
      <c r="CY113" s="25"/>
      <c r="CZ113" s="25"/>
      <c r="DA113" s="25"/>
      <c r="DB113" s="25"/>
      <c r="DC113" s="25"/>
      <c r="DD113" s="25"/>
      <c r="DE113" s="25"/>
      <c r="DF113" s="25"/>
      <c r="DG113" s="25"/>
      <c r="DH113" s="25"/>
      <c r="DI113" s="25"/>
      <c r="DJ113" s="25"/>
      <c r="DK113" s="25"/>
      <c r="DL113" s="25"/>
      <c r="DM113" s="25"/>
      <c r="DN113" s="25"/>
      <c r="DO113" s="25"/>
      <c r="DP113" s="25"/>
      <c r="DQ113" s="25"/>
      <c r="DR113" s="25"/>
      <c r="DS113" s="25"/>
      <c r="DT113" s="25"/>
      <c r="DU113" s="25"/>
      <c r="DV113" s="25"/>
      <c r="DW113" s="25"/>
      <c r="DX113" s="25"/>
      <c r="DY113" s="25"/>
      <c r="DZ113" s="25"/>
      <c r="EA113" s="25"/>
      <c r="EB113" s="25"/>
      <c r="EC113" s="25"/>
      <c r="ED113" s="25"/>
      <c r="EE113" s="25"/>
      <c r="EF113" s="25"/>
      <c r="EG113" s="25"/>
      <c r="EH113" s="25"/>
      <c r="EI113" s="25"/>
      <c r="EJ113" s="25"/>
      <c r="EK113" s="25"/>
      <c r="EL113" s="25"/>
      <c r="EM113" s="25"/>
      <c r="EN113" s="25"/>
      <c r="EO113" s="25"/>
      <c r="EP113" s="25"/>
      <c r="EQ113" s="25"/>
      <c r="ER113" s="25"/>
      <c r="ES113" s="25"/>
      <c r="ET113" s="25"/>
      <c r="EU113" s="25"/>
      <c r="EV113" s="25"/>
      <c r="EW113" s="25"/>
      <c r="EX113" s="25"/>
      <c r="EY113" s="25"/>
      <c r="EZ113" s="25"/>
      <c r="FA113" s="25"/>
      <c r="FB113" s="25"/>
      <c r="FC113" s="25"/>
      <c r="FD113" s="25"/>
      <c r="FE113" s="25"/>
      <c r="FF113" s="25"/>
      <c r="FG113" s="25"/>
      <c r="FH113" s="25"/>
      <c r="FI113" s="25"/>
      <c r="FJ113" s="25"/>
      <c r="FK113" s="25"/>
      <c r="FL113" s="25"/>
      <c r="FM113" s="25"/>
      <c r="FN113" s="25"/>
      <c r="FO113" s="25"/>
      <c r="FP113" s="25"/>
      <c r="FQ113" s="25"/>
      <c r="FR113" s="25"/>
      <c r="FS113" s="25"/>
      <c r="FT113" s="25"/>
      <c r="FU113" s="25"/>
      <c r="FV113" s="25"/>
      <c r="FW113" s="25"/>
      <c r="FX113" s="25"/>
      <c r="FY113" s="25"/>
      <c r="FZ113" s="25"/>
      <c r="GA113" s="25"/>
      <c r="GB113" s="25"/>
      <c r="GC113" s="25"/>
      <c r="GD113" s="25"/>
      <c r="GE113" s="25"/>
      <c r="GF113" s="25"/>
      <c r="GG113" s="25"/>
      <c r="GH113" s="25"/>
      <c r="GI113" s="25"/>
      <c r="GJ113" s="25"/>
      <c r="GK113" s="25"/>
      <c r="GL113" s="25"/>
      <c r="GM113" s="25"/>
      <c r="GN113" s="25"/>
      <c r="GO113" s="25"/>
      <c r="GP113" s="25"/>
    </row>
    <row r="114" spans="1:251" s="5" customFormat="1" ht="17.100000000000001" customHeight="1" x14ac:dyDescent="0.25">
      <c r="A114" s="14" t="s">
        <v>442</v>
      </c>
      <c r="B114" s="15">
        <v>0.36399999999999999</v>
      </c>
      <c r="C114" s="16">
        <v>0.30000000000000004</v>
      </c>
      <c r="D114" s="17">
        <v>23520.799999999996</v>
      </c>
      <c r="E114" s="17">
        <v>2870</v>
      </c>
      <c r="F114" s="17">
        <v>4100</v>
      </c>
      <c r="G114" s="17">
        <v>2870</v>
      </c>
      <c r="H114" s="17">
        <v>1230.0000000000002</v>
      </c>
      <c r="I114" s="17">
        <v>22290.799999999996</v>
      </c>
      <c r="J114" s="17">
        <f>4100</f>
        <v>4100</v>
      </c>
      <c r="K114" s="17">
        <f t="shared" si="18"/>
        <v>1230.0000000000002</v>
      </c>
      <c r="L114" s="17">
        <f>22290-4100</f>
        <v>18190</v>
      </c>
      <c r="M114" s="17">
        <f t="shared" si="13"/>
        <v>19420</v>
      </c>
      <c r="N114" s="17">
        <v>0</v>
      </c>
      <c r="O114" s="17">
        <f t="shared" si="14"/>
        <v>19420</v>
      </c>
      <c r="P114" s="17">
        <f>4100*C114</f>
        <v>1230.0000000000002</v>
      </c>
      <c r="Q114" s="17">
        <v>18190</v>
      </c>
      <c r="R114" s="17">
        <v>0</v>
      </c>
      <c r="S114" s="17">
        <f t="shared" si="16"/>
        <v>19420</v>
      </c>
      <c r="T114" s="8">
        <f t="shared" si="17"/>
        <v>4100.7999999999956</v>
      </c>
      <c r="U114" s="4" t="s">
        <v>443</v>
      </c>
      <c r="V114" s="18" t="s">
        <v>444</v>
      </c>
      <c r="W114" s="4" t="s">
        <v>445</v>
      </c>
      <c r="X114" s="4"/>
      <c r="Y114" s="3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6"/>
      <c r="IL114" s="6"/>
      <c r="IM114" s="6"/>
      <c r="IN114" s="6"/>
      <c r="IO114" s="6"/>
      <c r="IP114" s="6"/>
      <c r="IQ114" s="6"/>
    </row>
    <row r="115" spans="1:251" s="29" customFormat="1" ht="21" customHeight="1" x14ac:dyDescent="0.25">
      <c r="A115" s="32" t="s">
        <v>208</v>
      </c>
      <c r="B115" s="32"/>
      <c r="C115" s="33">
        <v>0.30000000000000004</v>
      </c>
      <c r="D115" s="34">
        <v>4698</v>
      </c>
      <c r="E115" s="34">
        <v>11510.65</v>
      </c>
      <c r="F115" s="34">
        <v>15659.999999999998</v>
      </c>
      <c r="G115" s="34">
        <v>10961.999999999998</v>
      </c>
      <c r="H115" s="34">
        <v>4698</v>
      </c>
      <c r="I115" s="34">
        <v>0</v>
      </c>
      <c r="J115" s="34">
        <v>817</v>
      </c>
      <c r="K115" s="34">
        <f t="shared" si="18"/>
        <v>245.10000000000002</v>
      </c>
      <c r="L115" s="34">
        <v>0</v>
      </c>
      <c r="M115" s="34">
        <f t="shared" si="13"/>
        <v>245.10000000000002</v>
      </c>
      <c r="N115" s="34">
        <v>0</v>
      </c>
      <c r="O115" s="34">
        <f t="shared" si="14"/>
        <v>245.10000000000002</v>
      </c>
      <c r="P115" s="35">
        <f>817*C115</f>
        <v>245.10000000000002</v>
      </c>
      <c r="Q115" s="35">
        <v>0</v>
      </c>
      <c r="R115" s="35">
        <v>0</v>
      </c>
      <c r="S115" s="35">
        <f t="shared" si="16"/>
        <v>245.10000000000002</v>
      </c>
      <c r="T115" s="26">
        <f t="shared" si="17"/>
        <v>4452.8999999999996</v>
      </c>
      <c r="U115" s="27" t="s">
        <v>209</v>
      </c>
      <c r="V115" s="28" t="s">
        <v>210</v>
      </c>
      <c r="W115" s="27" t="s">
        <v>211</v>
      </c>
      <c r="X115" s="27"/>
      <c r="Y115" s="7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  <c r="BX115" s="25"/>
      <c r="BY115" s="25"/>
      <c r="BZ115" s="25"/>
      <c r="CA115" s="25"/>
      <c r="CB115" s="25"/>
      <c r="CC115" s="25"/>
      <c r="CD115" s="25"/>
      <c r="CE115" s="25"/>
      <c r="CF115" s="25"/>
      <c r="CG115" s="25"/>
      <c r="CH115" s="25"/>
      <c r="CI115" s="25"/>
      <c r="CJ115" s="25"/>
      <c r="CK115" s="25"/>
      <c r="CL115" s="25"/>
      <c r="CM115" s="25"/>
      <c r="CN115" s="25"/>
      <c r="CO115" s="25"/>
      <c r="CP115" s="25"/>
      <c r="CQ115" s="25"/>
      <c r="CR115" s="25"/>
      <c r="CS115" s="25"/>
      <c r="CT115" s="25"/>
      <c r="CU115" s="25"/>
      <c r="CV115" s="25"/>
      <c r="CW115" s="25"/>
      <c r="CX115" s="25"/>
      <c r="CY115" s="25"/>
      <c r="CZ115" s="25"/>
      <c r="DA115" s="25"/>
      <c r="DB115" s="25"/>
      <c r="DC115" s="25"/>
      <c r="DD115" s="25"/>
      <c r="DE115" s="25"/>
      <c r="DF115" s="25"/>
      <c r="DG115" s="25"/>
      <c r="DH115" s="25"/>
      <c r="DI115" s="25"/>
      <c r="DJ115" s="25"/>
      <c r="DK115" s="25"/>
      <c r="DL115" s="25"/>
      <c r="DM115" s="25"/>
      <c r="DN115" s="25"/>
      <c r="DO115" s="25"/>
      <c r="DP115" s="25"/>
      <c r="DQ115" s="25"/>
      <c r="DR115" s="25"/>
      <c r="DS115" s="25"/>
      <c r="DT115" s="25"/>
      <c r="DU115" s="25"/>
      <c r="DV115" s="25"/>
      <c r="DW115" s="25"/>
      <c r="DX115" s="25"/>
      <c r="DY115" s="25"/>
      <c r="DZ115" s="25"/>
      <c r="EA115" s="25"/>
      <c r="EB115" s="25"/>
      <c r="EC115" s="25"/>
      <c r="ED115" s="25"/>
      <c r="EE115" s="25"/>
      <c r="EF115" s="25"/>
      <c r="EG115" s="25"/>
      <c r="EH115" s="25"/>
      <c r="EI115" s="25"/>
      <c r="EJ115" s="25"/>
      <c r="EK115" s="25"/>
      <c r="EL115" s="25"/>
      <c r="EM115" s="25"/>
      <c r="EN115" s="25"/>
      <c r="EO115" s="25"/>
      <c r="EP115" s="25"/>
      <c r="EQ115" s="25"/>
      <c r="ER115" s="25"/>
      <c r="ES115" s="25"/>
      <c r="ET115" s="25"/>
      <c r="EU115" s="25"/>
      <c r="EV115" s="25"/>
      <c r="EW115" s="25"/>
      <c r="EX115" s="25"/>
      <c r="EY115" s="25"/>
      <c r="EZ115" s="25"/>
      <c r="FA115" s="25"/>
      <c r="FB115" s="25"/>
      <c r="FC115" s="25"/>
      <c r="FD115" s="25"/>
      <c r="FE115" s="25"/>
      <c r="FF115" s="25"/>
      <c r="FG115" s="25"/>
      <c r="FH115" s="25"/>
      <c r="FI115" s="25"/>
      <c r="FJ115" s="25"/>
      <c r="FK115" s="25"/>
      <c r="FL115" s="25"/>
      <c r="FM115" s="25"/>
      <c r="FN115" s="25"/>
      <c r="FO115" s="25"/>
      <c r="FP115" s="25"/>
      <c r="FQ115" s="25"/>
      <c r="FR115" s="25"/>
      <c r="FS115" s="25"/>
      <c r="FT115" s="25"/>
      <c r="FU115" s="25"/>
      <c r="FV115" s="25"/>
      <c r="FW115" s="25"/>
      <c r="FX115" s="25"/>
      <c r="FY115" s="25"/>
      <c r="FZ115" s="25"/>
      <c r="GA115" s="25"/>
      <c r="GB115" s="25"/>
      <c r="GC115" s="25"/>
      <c r="GD115" s="25"/>
      <c r="GE115" s="25"/>
      <c r="GF115" s="25"/>
      <c r="GG115" s="25"/>
      <c r="GH115" s="25"/>
      <c r="GI115" s="25"/>
      <c r="GJ115" s="25"/>
      <c r="GK115" s="25"/>
      <c r="GL115" s="25"/>
      <c r="GM115" s="25"/>
      <c r="GN115" s="25"/>
      <c r="GO115" s="25"/>
      <c r="GP115" s="25"/>
    </row>
    <row r="116" spans="1:251" s="5" customFormat="1" ht="17.100000000000001" customHeight="1" x14ac:dyDescent="0.25">
      <c r="A116" s="14" t="s">
        <v>212</v>
      </c>
      <c r="B116" s="15"/>
      <c r="C116" s="16">
        <v>0.30000000000000004</v>
      </c>
      <c r="D116" s="17">
        <v>5000</v>
      </c>
      <c r="E116" s="17">
        <v>50306.69</v>
      </c>
      <c r="F116" s="17">
        <v>16666.666666666664</v>
      </c>
      <c r="G116" s="17">
        <v>11666.666666666664</v>
      </c>
      <c r="H116" s="17">
        <v>5000</v>
      </c>
      <c r="I116" s="17">
        <v>0</v>
      </c>
      <c r="J116" s="17">
        <v>3594</v>
      </c>
      <c r="K116" s="17">
        <f t="shared" si="18"/>
        <v>1078.2000000000003</v>
      </c>
      <c r="L116" s="17">
        <v>0</v>
      </c>
      <c r="M116" s="17">
        <f t="shared" ref="M116" si="19">SUM(K116:L116)</f>
        <v>1078.2000000000003</v>
      </c>
      <c r="N116" s="17">
        <v>0</v>
      </c>
      <c r="O116" s="17">
        <f t="shared" ref="O116" si="20">SUM(M116:N116)</f>
        <v>1078.2000000000003</v>
      </c>
      <c r="P116" s="17">
        <f>3594*C116</f>
        <v>1078.2000000000003</v>
      </c>
      <c r="Q116" s="17">
        <v>0</v>
      </c>
      <c r="R116" s="17">
        <v>0</v>
      </c>
      <c r="S116" s="17">
        <f t="shared" si="16"/>
        <v>1078.2000000000003</v>
      </c>
      <c r="T116" s="8">
        <f t="shared" si="17"/>
        <v>3921.7999999999997</v>
      </c>
      <c r="U116" s="4" t="s">
        <v>20</v>
      </c>
      <c r="V116" s="18" t="s">
        <v>21</v>
      </c>
      <c r="W116" s="4" t="s">
        <v>213</v>
      </c>
      <c r="X116" s="4"/>
      <c r="Y116" s="3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</row>
    <row r="117" spans="1:251" ht="26.25" customHeight="1" x14ac:dyDescent="0.25">
      <c r="P117" s="30" t="s">
        <v>452</v>
      </c>
      <c r="Q117" s="30"/>
      <c r="R117" s="30"/>
      <c r="S117" s="31">
        <f>SUM(S3:S116)</f>
        <v>807691.16</v>
      </c>
    </row>
  </sheetData>
  <sheetProtection algorithmName="SHA-512" hashValue="oRzyhCdFXCkoq/Nuxjvg3ArmFyhJri3pYKaTHYpT81Li6t86wMElKiqyVyvv+rPsmTAtjUUgrqr75Dn/orKO0Q==" saltValue="0VXegu1HzKUMQq33QGgojg==" spinCount="100000" sheet="1" objects="1" scenarios="1"/>
  <sortState xmlns:xlrd2="http://schemas.microsoft.com/office/spreadsheetml/2017/richdata2" ref="A3:Y116">
    <sortCondition ref="A4"/>
  </sortState>
  <hyperlinks>
    <hyperlink ref="V8" r:id="rId1" xr:uid="{5AB7ECCF-5603-46B6-9EBB-332FEE672523}"/>
    <hyperlink ref="V14" r:id="rId2" xr:uid="{9052519B-D2AA-49DE-84B1-41ABB5D336B1}"/>
    <hyperlink ref="V18" r:id="rId3" xr:uid="{948EFEAF-067C-4407-A65D-B1EC3A9AE1E7}"/>
    <hyperlink ref="V24" r:id="rId4" xr:uid="{4282940A-5927-47B6-96B4-96BD5CE8BF9B}"/>
    <hyperlink ref="V33" r:id="rId5" xr:uid="{2CDC14D4-A2F2-4415-9480-CB2FA562A844}"/>
    <hyperlink ref="V41" r:id="rId6" xr:uid="{225D42E6-F44D-4C22-8278-8A23C4326F5D}"/>
    <hyperlink ref="V42" r:id="rId7" xr:uid="{993B5AC3-E5D6-4B1A-8968-6EE812261930}"/>
    <hyperlink ref="V46" r:id="rId8" xr:uid="{BE151C71-B76E-46D9-BB63-7A071180FFEF}"/>
    <hyperlink ref="V50" r:id="rId9" xr:uid="{1CCFFD9B-C4FF-4ECA-B839-5E750037CD41}"/>
    <hyperlink ref="V56" r:id="rId10" xr:uid="{A6A053CF-1D22-43D2-B8AE-3668C8A3C487}"/>
    <hyperlink ref="V58" r:id="rId11" xr:uid="{77FE0535-4BA5-4C41-96D5-2B2858D0A880}"/>
    <hyperlink ref="V62" r:id="rId12" xr:uid="{45A8AD5A-1F01-4BCB-9083-1080F7D88F86}"/>
    <hyperlink ref="V72" r:id="rId13" xr:uid="{2FA28FCE-C8A1-44B5-B10B-1095F344A70E}"/>
    <hyperlink ref="V75" r:id="rId14" xr:uid="{05E53A07-2600-492C-A64C-146AD15D0E07}"/>
    <hyperlink ref="V78" r:id="rId15" xr:uid="{AB0E3239-B612-4263-8F4A-4F62C86958FC}"/>
    <hyperlink ref="V81" r:id="rId16" xr:uid="{A948DF85-3EC9-419B-A0A5-2CC261418072}"/>
    <hyperlink ref="V84" r:id="rId17" xr:uid="{FD74A168-6017-46C2-80CC-6E58B100C9E3}"/>
    <hyperlink ref="V48" r:id="rId18" xr:uid="{9C83EA9F-A306-493D-9B07-FB78A554BEB0}"/>
    <hyperlink ref="V95" r:id="rId19" xr:uid="{530C4D3D-801E-4C7E-849B-7C0309006A47}"/>
    <hyperlink ref="V105" r:id="rId20" xr:uid="{9690F161-5AA1-45FA-BE6F-84C21C900D86}"/>
    <hyperlink ref="V108" r:id="rId21" xr:uid="{E45C11E0-37B1-447E-9EE8-7C7775D98FEF}"/>
    <hyperlink ref="V113" r:id="rId22" xr:uid="{D3E3661E-3CDC-4ACD-8722-8971ED4086A4}"/>
    <hyperlink ref="V115" r:id="rId23" xr:uid="{F52AFDA9-4046-41C1-8B51-5FD85FC7AFAA}"/>
    <hyperlink ref="V112" r:id="rId24" xr:uid="{C86FEE17-2E32-4AE6-9D1F-2C828F10187E}"/>
    <hyperlink ref="V53" r:id="rId25" xr:uid="{4A9806E3-618F-4A2F-B6F0-B42C45500942}"/>
    <hyperlink ref="V74" r:id="rId26" xr:uid="{4E49990C-753A-4B92-AD61-22E1E295F914}"/>
    <hyperlink ref="V19" r:id="rId27" xr:uid="{01DCE393-A861-4377-A188-ECB7E988B4BF}"/>
    <hyperlink ref="V25" r:id="rId28" xr:uid="{4F22A2F6-D3B0-4EFA-8E0D-FD7D33DB28B9}"/>
    <hyperlink ref="V39" r:id="rId29" xr:uid="{B07D3A00-2301-46E6-9952-376AA7F09D23}"/>
    <hyperlink ref="V45" r:id="rId30" xr:uid="{EBBD5009-8761-4CB2-8AAF-776282838F28}"/>
    <hyperlink ref="V54" r:id="rId31" xr:uid="{139E4DBF-B048-4628-9025-7A8CCC5F8BE9}"/>
    <hyperlink ref="V61" r:id="rId32" xr:uid="{A48C0012-471F-4E9A-A06D-7B4A5FE8FE17}"/>
    <hyperlink ref="V64" r:id="rId33" xr:uid="{43D225EC-65F7-4001-A781-E55E0C1D458C}"/>
    <hyperlink ref="V66" r:id="rId34" xr:uid="{3DAF7C77-5628-4456-9607-7988459EC22A}"/>
    <hyperlink ref="V109" r:id="rId35" xr:uid="{2001A8EF-B087-40C3-B2C3-82578AEBD10D}"/>
    <hyperlink ref="V52" r:id="rId36" xr:uid="{2FFB9163-777B-46F2-A28D-B778D0337717}"/>
    <hyperlink ref="V29" r:id="rId37" xr:uid="{165B8C7D-6A66-4115-8033-7FEAA265E957}"/>
    <hyperlink ref="V94" r:id="rId38" xr:uid="{B7CF486B-9DAE-435D-AF7C-3592F39D2201}"/>
    <hyperlink ref="V70" r:id="rId39" xr:uid="{2F0E0E0D-3F5A-4DC1-B70C-E7EDFD0C5250}"/>
    <hyperlink ref="V89" r:id="rId40" xr:uid="{D981AB19-3CAC-45F1-8171-D87112769D81}"/>
    <hyperlink ref="V59" r:id="rId41" xr:uid="{8F148CD9-A28E-4514-95D6-8543E87D65D8}"/>
    <hyperlink ref="V87" r:id="rId42" xr:uid="{972EA499-EE8F-4F1C-8521-1C2836A69608}"/>
    <hyperlink ref="V92" r:id="rId43" xr:uid="{E0171B6E-D99A-4752-95DE-FB0A8652E642}"/>
    <hyperlink ref="V10" r:id="rId44" xr:uid="{C05409BC-A6EA-41AF-AAC2-9269EA6DDDED}"/>
    <hyperlink ref="V102" r:id="rId45" xr:uid="{61707EE2-807D-47A6-9E48-02EBF41E2419}"/>
    <hyperlink ref="V3" r:id="rId46" xr:uid="{5CDC6CC2-FA0B-41DB-BE7F-9FD49A2303E9}"/>
    <hyperlink ref="V6" r:id="rId47" xr:uid="{B4F4D5DD-411F-470D-B0CB-F4220E175056}"/>
    <hyperlink ref="V15" r:id="rId48" xr:uid="{B50647F0-9601-4498-8430-99891DACF26F}"/>
    <hyperlink ref="V9" r:id="rId49" xr:uid="{0BA87346-4FB3-45B2-8784-FC921DF6BD3D}"/>
    <hyperlink ref="V93" r:id="rId50" xr:uid="{26B4E9AB-7CA2-4291-A55C-CAA5C31FFB04}"/>
    <hyperlink ref="V34" r:id="rId51" xr:uid="{7BAE2DD8-C367-4091-988F-01AEDF249F2B}"/>
    <hyperlink ref="V55" r:id="rId52" xr:uid="{21A7F2BC-A70B-4712-B737-3331FC4BFBEC}"/>
    <hyperlink ref="V63" r:id="rId53" xr:uid="{13E76D33-4E36-42EA-A155-91713D6E3D24}"/>
    <hyperlink ref="V77" r:id="rId54" xr:uid="{113A5519-5F08-4C18-BBA4-7BADB0311CFA}"/>
    <hyperlink ref="V90" r:id="rId55" xr:uid="{34A8CA9F-D0B6-42F7-8C18-4ACDE4B06C11}"/>
    <hyperlink ref="V116" r:id="rId56" xr:uid="{D56FA4D2-8508-49E9-AB8F-47B2D09149DB}"/>
    <hyperlink ref="V17" r:id="rId57" xr:uid="{D45334A1-2BAA-47C9-8362-3D419B178F5E}"/>
    <hyperlink ref="V65" r:id="rId58" xr:uid="{C802430F-9080-4D41-9C27-8CE1AD09FDCF}"/>
    <hyperlink ref="V51" r:id="rId59" xr:uid="{E60190F8-5DD3-43D2-88F5-A04B9A6D27B9}"/>
    <hyperlink ref="V67" r:id="rId60" xr:uid="{2DE73F55-024B-4CDC-806A-3B7130A07018}"/>
    <hyperlink ref="V106" r:id="rId61" xr:uid="{BE1996AE-5A3B-49C5-8B9F-5531CC46D215}"/>
    <hyperlink ref="V101" r:id="rId62" xr:uid="{70131F0A-FCF5-4D19-9BD2-F5ED06BA9431}"/>
    <hyperlink ref="V111" r:id="rId63" xr:uid="{E0D83250-23AF-45AA-AA20-CD2D6D7E8225}"/>
    <hyperlink ref="V76" r:id="rId64" xr:uid="{C293AE43-A317-4E87-A452-FCBC9D5BC146}"/>
    <hyperlink ref="V97" r:id="rId65" xr:uid="{0FD4F95E-BBC7-4794-99BF-24EA8EC20078}"/>
    <hyperlink ref="V107" r:id="rId66" xr:uid="{52D9F5AA-39DA-4496-8DA1-5E92B8E518AC}"/>
    <hyperlink ref="V20" r:id="rId67" xr:uid="{1FD79119-636E-44BB-946D-8372876EF66E}"/>
    <hyperlink ref="V37" r:id="rId68" xr:uid="{19DF9029-BE5F-422C-9501-BCC02CEC45E3}"/>
    <hyperlink ref="V30" r:id="rId69" xr:uid="{3116A378-5524-4701-B617-D04CD3EF7FF5}"/>
    <hyperlink ref="V86" r:id="rId70" xr:uid="{4F6E6EF8-AC87-4606-8CCB-24B9631E264E}"/>
    <hyperlink ref="V23" r:id="rId71" xr:uid="{908F508F-7158-4B80-88FB-FB79D70E6838}"/>
    <hyperlink ref="V31" r:id="rId72" xr:uid="{D341D2FD-7736-4CD4-8FDD-4B1581361AD0}"/>
    <hyperlink ref="V28" r:id="rId73" xr:uid="{71D31ABA-42A1-41E1-9837-EB4D8C7DE64C}"/>
    <hyperlink ref="V22" r:id="rId74" xr:uid="{D4A12AB3-74C5-40E6-BC89-E14199512D64}"/>
    <hyperlink ref="V83" r:id="rId75" xr:uid="{99DAC2C9-0739-445A-B626-28C188DC2ED4}"/>
    <hyperlink ref="V16" r:id="rId76" xr:uid="{97FF7CFC-9E1F-49E5-BA21-34450B575148}"/>
    <hyperlink ref="V4" r:id="rId77" xr:uid="{8413E1A9-0DF9-4344-84D3-62259ED85CDC}"/>
    <hyperlink ref="V68" r:id="rId78" xr:uid="{4289CBE4-9C60-4537-8B2E-0CB4CF425883}"/>
    <hyperlink ref="V85" r:id="rId79" xr:uid="{F8ACA124-C2E4-45A9-A1D7-6B7E44978510}"/>
    <hyperlink ref="V43" r:id="rId80" xr:uid="{D1AF2066-BE46-45B9-9643-AE21536B7DD9}"/>
    <hyperlink ref="V36" r:id="rId81" xr:uid="{6CF8E2B0-D1BB-4BD2-B41D-45D647061D67}"/>
    <hyperlink ref="V35" r:id="rId82" xr:uid="{D504B6A8-971E-43BE-9539-BEB030A5E51F}"/>
    <hyperlink ref="V44" r:id="rId83" xr:uid="{F01D674A-5899-4A4D-B573-326B700A059B}"/>
    <hyperlink ref="V12" r:id="rId84" xr:uid="{BFD24315-495B-4553-88F5-12B2F3D7548B}"/>
    <hyperlink ref="V73" r:id="rId85" xr:uid="{D4D4F3F1-9FA3-4B3C-AE8B-2A4E1A86098A}"/>
    <hyperlink ref="V7" r:id="rId86" xr:uid="{81187B9D-683E-4954-BE1C-787BA51A668E}"/>
    <hyperlink ref="V79" r:id="rId87" xr:uid="{2B8B8D86-C0AE-49E2-B978-F85C3EDF25FE}"/>
    <hyperlink ref="V69" r:id="rId88" xr:uid="{3FDD687A-CEA0-4701-81A7-3EE07EF8D65A}"/>
    <hyperlink ref="V82" r:id="rId89" xr:uid="{020BB3B1-9AF3-4FAF-987E-6C2BC63241DF}"/>
    <hyperlink ref="V38" r:id="rId90" xr:uid="{9D2E3C2B-81BB-40EE-9CC3-7774A76B3D92}"/>
    <hyperlink ref="V11" r:id="rId91" xr:uid="{3BF7B2C6-1635-4266-A970-C71936535266}"/>
    <hyperlink ref="V32" r:id="rId92" xr:uid="{14A6C6DD-CF46-4EBC-BDC4-7802C8507343}"/>
    <hyperlink ref="V13" r:id="rId93" xr:uid="{76208D9F-8256-46A0-BF98-3C9C66134B55}"/>
    <hyperlink ref="V5" r:id="rId94" xr:uid="{FC7C91B7-B806-469F-99D3-46980023EE73}"/>
    <hyperlink ref="V21" r:id="rId95" xr:uid="{144C3204-0278-4DAD-B9CE-F36E17E4B342}"/>
    <hyperlink ref="V91" r:id="rId96" xr:uid="{FC553D45-6794-4827-9B84-2E7D6015A26E}"/>
    <hyperlink ref="V47" r:id="rId97" xr:uid="{66AD5FF7-6A97-4144-9D09-7BE0BA5E1648}"/>
    <hyperlink ref="V99" r:id="rId98" xr:uid="{84C28DFD-3801-4EBB-B378-4E616EF20F61}"/>
    <hyperlink ref="V104" r:id="rId99" xr:uid="{86F65AB9-B43C-4C21-94BE-4284DC0F2882}"/>
    <hyperlink ref="V80" r:id="rId100" xr:uid="{B04D3D00-B456-4ADB-952E-93A2C4FEC108}"/>
    <hyperlink ref="V103" r:id="rId101" xr:uid="{129DC6F2-8D97-4597-9E71-E476B776F62F}"/>
    <hyperlink ref="V88" r:id="rId102" xr:uid="{EB9CCA02-C2A6-4A4E-B95C-0B1B6CA4A0A0}"/>
    <hyperlink ref="V40" r:id="rId103" xr:uid="{182C226B-A21E-480B-89E1-70E08095F60F}"/>
    <hyperlink ref="V49" r:id="rId104" xr:uid="{1C41D301-7A5C-4223-A5B3-DA6F7F37D01E}"/>
    <hyperlink ref="V98" r:id="rId105" xr:uid="{36860DB3-765D-4665-83FD-742B0DC5D3E8}"/>
    <hyperlink ref="V60" r:id="rId106" xr:uid="{7E5079F6-0633-4758-B1FA-C94556174F64}"/>
    <hyperlink ref="V114" r:id="rId107" xr:uid="{30333128-77B4-4710-A51D-545B832B23BB}"/>
    <hyperlink ref="V110" r:id="rId108" xr:uid="{F478481E-EDD0-4D44-B5FF-7332E38424B8}"/>
    <hyperlink ref="V57" r:id="rId109" xr:uid="{38411A1C-90D6-4D9A-A3A5-1227555346F2}"/>
    <hyperlink ref="V71" r:id="rId110" xr:uid="{67660AB8-4902-4FCD-97D6-2EEAF3D8316C}"/>
    <hyperlink ref="V100" r:id="rId111" xr:uid="{F56145F4-2783-431F-B8F1-BB8307A60E94}"/>
    <hyperlink ref="V27" r:id="rId112" xr:uid="{006B3796-ECBC-4D78-A7A2-78D30F4F59F8}"/>
  </hyperlinks>
  <pageMargins left="0.7" right="0.7" top="0.75" bottom="0.75" header="0.3" footer="0.3"/>
  <pageSetup orientation="portrait" r:id="rId11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geCreateDate xmlns="A0122A7F-920A-41CD-8229-1774974CF475" xsi:nil="true"/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F17AE6CB8153CD4789B5642BF1AE871A" ma:contentTypeVersion="3" ma:contentTypeDescription="Upload an image." ma:contentTypeScope="" ma:versionID="7d9ccbeb8692a0d0a4ef836c6fa447d3">
  <xsd:schema xmlns:xsd="http://www.w3.org/2001/XMLSchema" xmlns:xs="http://www.w3.org/2001/XMLSchema" xmlns:p="http://schemas.microsoft.com/office/2006/metadata/properties" xmlns:ns1="http://schemas.microsoft.com/sharepoint/v3" xmlns:ns2="A0122A7F-920A-41CD-8229-1774974CF475" xmlns:ns3="http://schemas.microsoft.com/sharepoint/v3/fields" xmlns:ns4="10f2cb44-b37d-4693-a5c3-140ab663d372" xmlns:ns5="fb82bcdf-ea63-4554-99e3-e15ccd87b479" targetNamespace="http://schemas.microsoft.com/office/2006/metadata/properties" ma:root="true" ma:fieldsID="e1c2e49b5f97ec354b83ed8e6e12a011" ns1:_="" ns2:_="" ns3:_="" ns4:_="" ns5:_="">
    <xsd:import namespace="http://schemas.microsoft.com/sharepoint/v3"/>
    <xsd:import namespace="A0122A7F-920A-41CD-8229-1774974CF475"/>
    <xsd:import namespace="http://schemas.microsoft.com/sharepoint/v3/fields"/>
    <xsd:import namespace="10f2cb44-b37d-4693-a5c3-140ab663d372"/>
    <xsd:import namespace="fb82bcdf-ea63-4554-99e3-e15ccd87b479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  <xsd:element ref="ns4:_dlc_DocId" minOccurs="0"/>
                <xsd:element ref="ns4:_dlc_DocIdUrl" minOccurs="0"/>
                <xsd:element ref="ns4:_dlc_DocIdPersistId" minOccurs="0"/>
                <xsd:element ref="ns5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122A7F-920A-41CD-8229-1774974CF475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f2cb44-b37d-4693-a5c3-140ab663d372" elementFormDefault="qualified">
    <xsd:import namespace="http://schemas.microsoft.com/office/2006/documentManagement/types"/>
    <xsd:import namespace="http://schemas.microsoft.com/office/infopath/2007/PartnerControls"/>
    <xsd:element name="_dlc_DocId" ma:index="2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2bcdf-ea63-4554-99e3-e15ccd87b479" elementFormDefault="qualified">
    <xsd:import namespace="http://schemas.microsoft.com/office/2006/documentManagement/types"/>
    <xsd:import namespace="http://schemas.microsoft.com/office/infopath/2007/PartnerControls"/>
    <xsd:element name="SharedWithUsers" ma:index="3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610ED36-126D-4F18-B47A-88893D86B8F3}"/>
</file>

<file path=customXml/itemProps2.xml><?xml version="1.0" encoding="utf-8"?>
<ds:datastoreItem xmlns:ds="http://schemas.openxmlformats.org/officeDocument/2006/customXml" ds:itemID="{27D920A7-8B15-4498-9214-A0983E46E42F}"/>
</file>

<file path=customXml/itemProps3.xml><?xml version="1.0" encoding="utf-8"?>
<ds:datastoreItem xmlns:ds="http://schemas.openxmlformats.org/officeDocument/2006/customXml" ds:itemID="{440BCEF7-9668-4614-A744-2C5D87F46F35}"/>
</file>

<file path=customXml/itemProps4.xml><?xml version="1.0" encoding="utf-8"?>
<ds:datastoreItem xmlns:ds="http://schemas.openxmlformats.org/officeDocument/2006/customXml" ds:itemID="{B86F7686-5DB5-42EE-85CB-4F6C690571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FY19 Awards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:description/>
  <cp:lastModifiedBy>Davis, Tondra A - DOA</cp:lastModifiedBy>
  <dcterms:created xsi:type="dcterms:W3CDTF">2018-12-19T21:25:51Z</dcterms:created>
  <dcterms:modified xsi:type="dcterms:W3CDTF">2018-12-19T22:31:07Z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0x0101009148F5A04DDD49CBA7127AADA5FB792B00AADE34325A8B49CDA8BB4DB53328F21400F17AE6CB8153CD4789B5642BF1AE871A</vt:lpwstr>
  </property>
</Properties>
</file>